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filterPrivacy="1" defaultThemeVersion="124226"/>
  <xr:revisionPtr revIDLastSave="0" documentId="13_ncr:1_{354A29B9-034A-4F94-BE44-199CAAD77327}" xr6:coauthVersionLast="47" xr6:coauthVersionMax="47" xr10:uidLastSave="{00000000-0000-0000-0000-000000000000}"/>
  <bookViews>
    <workbookView xWindow="-120" yWindow="-120" windowWidth="21840" windowHeight="13140" tabRatio="888" activeTab="1" xr2:uid="{00000000-000D-0000-FFFF-FFFF00000000}"/>
  </bookViews>
  <sheets>
    <sheet name="مقابل التاخير" sheetId="10" r:id="rId1"/>
    <sheet name="كسب العمل" sheetId="1" r:id="rId2"/>
    <sheet name="مادة 3 قانون 30" sheetId="16" r:id="rId3"/>
    <sheet name="مسودة" sheetId="14" r:id="rId4"/>
    <sheet name="تامينات 2024" sheetId="17" r:id="rId5"/>
    <sheet name="ض د 2023" sheetId="15" r:id="rId6"/>
    <sheet name="ض د 2023 لم يتم العمل بها" sheetId="13" r:id="rId7"/>
    <sheet name="ض .د 2020 و 2021 و 2022 " sheetId="11" r:id="rId8"/>
    <sheet name="ض .د 2018 و 2019" sheetId="9" r:id="rId9"/>
    <sheet name="ض .د 2017 " sheetId="8" r:id="rId10"/>
    <sheet name="ض .د 2015 و 2016" sheetId="7" r:id="rId11"/>
    <sheet name="ض د 2013 و 2014" sheetId="6" r:id="rId12"/>
    <sheet name="ض .د من 2005حتى  2012" sheetId="5" r:id="rId13"/>
    <sheet name="كسب عمل 2013" sheetId="4" r:id="rId14"/>
  </sheets>
  <calcPr calcId="191029"/>
</workbook>
</file>

<file path=xl/calcChain.xml><?xml version="1.0" encoding="utf-8"?>
<calcChain xmlns="http://schemas.openxmlformats.org/spreadsheetml/2006/main">
  <c r="I22" i="17" l="1"/>
  <c r="G22" i="17"/>
  <c r="H22" i="17" s="1"/>
  <c r="J22" i="17" s="1"/>
  <c r="K22" i="17" s="1"/>
  <c r="I21" i="17"/>
  <c r="H21" i="17"/>
  <c r="J21" i="17" s="1"/>
  <c r="K21" i="17" s="1"/>
  <c r="G21" i="17"/>
  <c r="I20" i="17"/>
  <c r="G20" i="17"/>
  <c r="H20" i="17" s="1"/>
  <c r="J20" i="17" s="1"/>
  <c r="K20" i="17" s="1"/>
  <c r="I19" i="17"/>
  <c r="G19" i="17"/>
  <c r="H19" i="17" s="1"/>
  <c r="J19" i="17" s="1"/>
  <c r="K19" i="17" s="1"/>
  <c r="I18" i="17"/>
  <c r="G18" i="17"/>
  <c r="H18" i="17" s="1"/>
  <c r="J18" i="17" s="1"/>
  <c r="K18" i="17" s="1"/>
  <c r="I17" i="17"/>
  <c r="H17" i="17"/>
  <c r="J17" i="17" s="1"/>
  <c r="K17" i="17" s="1"/>
  <c r="G17" i="17"/>
  <c r="I16" i="17"/>
  <c r="G16" i="17"/>
  <c r="H16" i="17" s="1"/>
  <c r="J16" i="17" s="1"/>
  <c r="K16" i="17" s="1"/>
  <c r="I15" i="17"/>
  <c r="G15" i="17"/>
  <c r="H15" i="17" s="1"/>
  <c r="J15" i="17" s="1"/>
  <c r="K15" i="17" s="1"/>
  <c r="I14" i="17"/>
  <c r="G14" i="17"/>
  <c r="H14" i="17" s="1"/>
  <c r="J14" i="17" s="1"/>
  <c r="K14" i="17" s="1"/>
  <c r="I13" i="17"/>
  <c r="H13" i="17"/>
  <c r="J13" i="17" s="1"/>
  <c r="K13" i="17" s="1"/>
  <c r="G13" i="17"/>
  <c r="I12" i="17"/>
  <c r="G12" i="17"/>
  <c r="H12" i="17" s="1"/>
  <c r="J12" i="17" s="1"/>
  <c r="K12" i="17" s="1"/>
  <c r="I11" i="17"/>
  <c r="G11" i="17"/>
  <c r="H11" i="17" s="1"/>
  <c r="J11" i="17" s="1"/>
  <c r="K11" i="17" s="1"/>
  <c r="I10" i="17"/>
  <c r="G10" i="17"/>
  <c r="H10" i="17" s="1"/>
  <c r="J10" i="17" s="1"/>
  <c r="K10" i="17" s="1"/>
  <c r="I9" i="17"/>
  <c r="H9" i="17"/>
  <c r="J9" i="17" s="1"/>
  <c r="K9" i="17" s="1"/>
  <c r="G9" i="17"/>
  <c r="I8" i="17"/>
  <c r="G8" i="17"/>
  <c r="H8" i="17" s="1"/>
  <c r="J8" i="17" s="1"/>
  <c r="K8" i="17" s="1"/>
  <c r="I7" i="17"/>
  <c r="G7" i="17"/>
  <c r="H7" i="17" s="1"/>
  <c r="J7" i="17" s="1"/>
  <c r="K7" i="17" s="1"/>
  <c r="I6" i="17"/>
  <c r="G6" i="17"/>
  <c r="H6" i="17" s="1"/>
  <c r="J6" i="17" s="1"/>
  <c r="K6" i="17" s="1"/>
  <c r="I8" i="16" l="1"/>
  <c r="M7" i="14"/>
  <c r="M6" i="14"/>
  <c r="G24" i="1"/>
  <c r="B11" i="15"/>
  <c r="H3" i="1" l="1"/>
  <c r="L3" i="1" l="1"/>
  <c r="G19" i="1"/>
  <c r="G17" i="1"/>
  <c r="G15" i="1"/>
  <c r="G13" i="1"/>
  <c r="G11" i="1"/>
  <c r="G9" i="1"/>
  <c r="G7" i="1"/>
  <c r="G5" i="1"/>
  <c r="I5" i="1" s="1"/>
  <c r="J5" i="1" s="1"/>
  <c r="I3" i="1"/>
  <c r="Q3" i="15"/>
  <c r="Q4" i="15"/>
  <c r="Q10" i="15" s="1"/>
  <c r="Q5" i="15"/>
  <c r="Q6" i="15"/>
  <c r="Q7" i="15"/>
  <c r="Q8" i="15"/>
  <c r="Q9" i="15"/>
  <c r="O10" i="15"/>
  <c r="B20" i="15"/>
  <c r="C20" i="15" s="1"/>
  <c r="E5" i="15"/>
  <c r="E6" i="15" s="1"/>
  <c r="E7" i="15" s="1"/>
  <c r="E8" i="15" s="1"/>
  <c r="E9" i="15" s="1"/>
  <c r="E10" i="15" s="1"/>
  <c r="B9" i="15"/>
  <c r="C9" i="15" s="1"/>
  <c r="B8" i="15"/>
  <c r="C8" i="15" s="1"/>
  <c r="B7" i="15"/>
  <c r="C7" i="15" s="1"/>
  <c r="B6" i="15"/>
  <c r="C6" i="15" s="1"/>
  <c r="B5" i="15"/>
  <c r="C5" i="15" s="1"/>
  <c r="B4" i="15"/>
  <c r="C4" i="15" s="1"/>
  <c r="H2" i="15"/>
  <c r="I2" i="15" s="1"/>
  <c r="J2" i="15" s="1"/>
  <c r="K2" i="15" s="1"/>
  <c r="L2" i="15" s="1"/>
  <c r="J3" i="1" l="1"/>
  <c r="H24" i="1"/>
  <c r="B14" i="15"/>
  <c r="B17" i="15" s="1"/>
  <c r="H5" i="1"/>
  <c r="L5" i="1" s="1"/>
  <c r="M5" i="1" s="1"/>
  <c r="M3" i="1"/>
  <c r="B3" i="15"/>
  <c r="C11" i="15"/>
  <c r="G26" i="1"/>
  <c r="H26" i="1" s="1"/>
  <c r="B26" i="1" s="1"/>
  <c r="B12" i="11"/>
  <c r="C12" i="11" s="1"/>
  <c r="A15" i="11"/>
  <c r="R9" i="14"/>
  <c r="R8" i="14"/>
  <c r="R7" i="14"/>
  <c r="R6" i="14"/>
  <c r="Q6" i="14"/>
  <c r="Q7" i="14"/>
  <c r="Q8" i="14"/>
  <c r="Q9" i="14"/>
  <c r="Q10" i="14"/>
  <c r="Q5" i="14"/>
  <c r="I5" i="14"/>
  <c r="O15" i="14"/>
  <c r="M5" i="14"/>
  <c r="N10" i="14"/>
  <c r="N9" i="14"/>
  <c r="N8" i="14"/>
  <c r="N7" i="14"/>
  <c r="N6" i="14"/>
  <c r="N5" i="14"/>
  <c r="L5" i="14"/>
  <c r="M8" i="14"/>
  <c r="M9" i="14"/>
  <c r="M10" i="14"/>
  <c r="L6" i="14"/>
  <c r="L7" i="14"/>
  <c r="L8" i="14"/>
  <c r="L9" i="14"/>
  <c r="L10" i="14"/>
  <c r="K6" i="14"/>
  <c r="K7" i="14"/>
  <c r="K8" i="14"/>
  <c r="K9" i="14"/>
  <c r="K10" i="14"/>
  <c r="K5" i="14"/>
  <c r="I6" i="14"/>
  <c r="I7" i="14"/>
  <c r="I8" i="14"/>
  <c r="I9" i="14"/>
  <c r="I10" i="14"/>
  <c r="I4" i="14"/>
  <c r="D6" i="14"/>
  <c r="D7" i="14"/>
  <c r="D8" i="14"/>
  <c r="D9" i="14"/>
  <c r="D10" i="14"/>
  <c r="D11" i="14"/>
  <c r="D12" i="14"/>
  <c r="D13" i="14"/>
  <c r="D5" i="14"/>
  <c r="B11" i="13"/>
  <c r="B14" i="13" s="1"/>
  <c r="C14" i="13" s="1"/>
  <c r="B9" i="13"/>
  <c r="C9" i="13" s="1"/>
  <c r="B8" i="13"/>
  <c r="C8" i="13" s="1"/>
  <c r="N20" i="11"/>
  <c r="B7" i="13"/>
  <c r="C7" i="13" s="1"/>
  <c r="B6" i="13"/>
  <c r="C6" i="13" s="1"/>
  <c r="B5" i="13"/>
  <c r="C5" i="13" s="1"/>
  <c r="B4" i="13"/>
  <c r="C4" i="13" s="1"/>
  <c r="E5" i="13"/>
  <c r="E6" i="13" s="1"/>
  <c r="E7" i="13" s="1"/>
  <c r="E8" i="13" s="1"/>
  <c r="E9" i="13" s="1"/>
  <c r="E10" i="13" s="1"/>
  <c r="E11" i="13" s="1"/>
  <c r="H2" i="13"/>
  <c r="I2" i="13" s="1"/>
  <c r="J2" i="13" s="1"/>
  <c r="K2" i="13" s="1"/>
  <c r="L2" i="13" s="1"/>
  <c r="B24" i="1" l="1"/>
  <c r="A21" i="15"/>
  <c r="C14" i="15"/>
  <c r="C17" i="15"/>
  <c r="B16" i="11"/>
  <c r="C16" i="11" s="1"/>
  <c r="E16" i="11" s="1"/>
  <c r="C11" i="13"/>
  <c r="B3" i="13"/>
  <c r="D21" i="9"/>
  <c r="C18" i="15" l="1"/>
  <c r="C16" i="15"/>
  <c r="B15" i="5"/>
  <c r="A14" i="5" s="1"/>
  <c r="B10" i="5"/>
  <c r="A9" i="5" s="1"/>
  <c r="A8" i="10"/>
  <c r="A9" i="10" s="1"/>
  <c r="A10" i="10" s="1"/>
  <c r="A11" i="10" s="1"/>
  <c r="A12" i="10" s="1"/>
  <c r="A13" i="10" s="1"/>
  <c r="A14" i="10" s="1"/>
  <c r="A15" i="10" s="1"/>
  <c r="A16" i="10" s="1"/>
  <c r="A17" i="10" s="1"/>
  <c r="A18" i="10" s="1"/>
  <c r="A19" i="10" s="1"/>
  <c r="A20" i="10" s="1"/>
  <c r="A21" i="10" s="1"/>
  <c r="A22" i="10" s="1"/>
  <c r="A23" i="10" s="1"/>
  <c r="A24" i="10" s="1"/>
  <c r="A25" i="10" s="1"/>
  <c r="O8" i="11"/>
  <c r="O9" i="11"/>
  <c r="O11" i="11" l="1"/>
  <c r="O10" i="11"/>
  <c r="Q20" i="11"/>
  <c r="J31" i="11"/>
  <c r="K31" i="11" s="1"/>
  <c r="I31" i="11"/>
  <c r="N33" i="11"/>
  <c r="Q33" i="11" s="1"/>
  <c r="Q32" i="11"/>
  <c r="O32" i="11"/>
  <c r="S32" i="11" s="1"/>
  <c r="Q31" i="11"/>
  <c r="O31" i="11"/>
  <c r="S31" i="11" s="1"/>
  <c r="Q30" i="11"/>
  <c r="O30" i="11"/>
  <c r="S30" i="11" s="1"/>
  <c r="O29" i="11"/>
  <c r="S29" i="11" s="1"/>
  <c r="Q16" i="11"/>
  <c r="Q17" i="11"/>
  <c r="Q18" i="11"/>
  <c r="Q19" i="11"/>
  <c r="O16" i="11"/>
  <c r="S16" i="11" s="1"/>
  <c r="O17" i="11"/>
  <c r="S17" i="11" s="1"/>
  <c r="O18" i="11"/>
  <c r="S18" i="11" s="1"/>
  <c r="O19" i="11"/>
  <c r="S19" i="11" s="1"/>
  <c r="O15" i="11"/>
  <c r="M15" i="11"/>
  <c r="Q15" i="11" s="1"/>
  <c r="I18" i="11"/>
  <c r="H7" i="1"/>
  <c r="N34" i="11" l="1"/>
  <c r="N21" i="11"/>
  <c r="J34" i="11"/>
  <c r="O33" i="11"/>
  <c r="S33" i="11" s="1"/>
  <c r="S34" i="11" s="1"/>
  <c r="S35" i="11" s="1"/>
  <c r="Q21" i="11"/>
  <c r="S15" i="11"/>
  <c r="O20" i="11"/>
  <c r="S20" i="11" s="1"/>
  <c r="Q29" i="11"/>
  <c r="J18" i="11"/>
  <c r="I7" i="1"/>
  <c r="J7" i="1" s="1"/>
  <c r="I9" i="1"/>
  <c r="G32" i="1" s="1"/>
  <c r="I11" i="1"/>
  <c r="G35" i="1" s="1"/>
  <c r="O34" i="11" l="1"/>
  <c r="J35" i="11" s="1"/>
  <c r="O21" i="11"/>
  <c r="J22" i="11" s="1"/>
  <c r="G29" i="1"/>
  <c r="H29" i="1" s="1"/>
  <c r="B29" i="1" s="1"/>
  <c r="K18" i="11"/>
  <c r="Q22" i="11" s="1"/>
  <c r="J21" i="11"/>
  <c r="S21" i="11"/>
  <c r="S22" i="11" s="1"/>
  <c r="Q34" i="11"/>
  <c r="Q35" i="11" s="1"/>
  <c r="R23" i="11" l="1"/>
  <c r="R36" i="11"/>
  <c r="I19" i="1" l="1"/>
  <c r="G46" i="1" s="1"/>
  <c r="H46" i="1" s="1"/>
  <c r="I13" i="1"/>
  <c r="G38" i="1" s="1"/>
  <c r="I15" i="1"/>
  <c r="G41" i="1" s="1"/>
  <c r="H41" i="1" s="1"/>
  <c r="I17" i="1"/>
  <c r="G43" i="1" s="1"/>
  <c r="B10" i="11"/>
  <c r="C10" i="11" s="1"/>
  <c r="B9" i="11"/>
  <c r="C9" i="11" s="1"/>
  <c r="B8" i="11"/>
  <c r="C8" i="11" s="1"/>
  <c r="B7" i="11"/>
  <c r="C7" i="11" s="1"/>
  <c r="B6" i="11"/>
  <c r="C6" i="11" s="1"/>
  <c r="B5" i="11"/>
  <c r="D4" i="11"/>
  <c r="D5" i="11" s="1"/>
  <c r="D6" i="11" s="1"/>
  <c r="D7" i="11" s="1"/>
  <c r="D8" i="11" s="1"/>
  <c r="D9" i="11" s="1"/>
  <c r="G1" i="11"/>
  <c r="H1" i="11" s="1"/>
  <c r="I1" i="11" s="1"/>
  <c r="J1" i="11" s="1"/>
  <c r="K1" i="11" s="1"/>
  <c r="C5" i="11" l="1"/>
  <c r="B2" i="11" s="1"/>
  <c r="E12" i="11" s="1"/>
  <c r="L7" i="1"/>
  <c r="M7" i="1" l="1"/>
  <c r="B5" i="10"/>
  <c r="D23" i="10" l="1"/>
  <c r="D24" i="10"/>
  <c r="D25" i="10"/>
  <c r="D22" i="10"/>
  <c r="D21" i="10"/>
  <c r="D12" i="10"/>
  <c r="D8" i="10"/>
  <c r="D19" i="10"/>
  <c r="D15" i="10"/>
  <c r="D11" i="10"/>
  <c r="D9" i="10"/>
  <c r="D17" i="10"/>
  <c r="D13" i="10"/>
  <c r="D10" i="10"/>
  <c r="D7" i="10"/>
  <c r="D20" i="10"/>
  <c r="D18" i="10"/>
  <c r="D16" i="10"/>
  <c r="D14" i="10"/>
  <c r="H35" i="1"/>
  <c r="J11" i="1"/>
  <c r="H11" i="1"/>
  <c r="J9" i="1"/>
  <c r="H9" i="1"/>
  <c r="H32" i="1"/>
  <c r="B35" i="1" l="1"/>
  <c r="B32" i="1"/>
  <c r="D26" i="10"/>
  <c r="D27" i="10" s="1"/>
  <c r="H43" i="1"/>
  <c r="C2" i="9"/>
  <c r="C4" i="9" s="1"/>
  <c r="C5" i="9" s="1"/>
  <c r="B1" i="9"/>
  <c r="B2" i="9" s="1"/>
  <c r="H38" i="1"/>
  <c r="L9" i="1"/>
  <c r="L11" i="1"/>
  <c r="J13" i="1"/>
  <c r="H13" i="1"/>
  <c r="L13" i="1" s="1"/>
  <c r="J15" i="1"/>
  <c r="B41" i="1" s="1"/>
  <c r="H15" i="1"/>
  <c r="L15" i="1" s="1"/>
  <c r="J17" i="1"/>
  <c r="H17" i="1"/>
  <c r="L17" i="1" s="1"/>
  <c r="J19" i="1"/>
  <c r="B46" i="1" s="1"/>
  <c r="H19" i="1"/>
  <c r="L19" i="1" s="1"/>
  <c r="B38" i="1" l="1"/>
  <c r="B43" i="1"/>
  <c r="M11" i="1"/>
  <c r="M19" i="1"/>
  <c r="M17" i="1"/>
  <c r="M15" i="1"/>
  <c r="M13" i="1"/>
  <c r="M9" i="1"/>
  <c r="C2" i="8" l="1"/>
  <c r="B2" i="8"/>
  <c r="B5" i="7"/>
  <c r="C2" i="7"/>
  <c r="B2" i="7"/>
  <c r="B2" i="6"/>
  <c r="B4" i="6" s="1"/>
  <c r="B5" i="6" s="1"/>
  <c r="C1" i="6"/>
  <c r="C2" i="6" s="1"/>
  <c r="B2" i="5"/>
  <c r="B4" i="5" s="1"/>
  <c r="B5" i="5" s="1"/>
  <c r="C1" i="5"/>
  <c r="C2" i="5" s="1"/>
  <c r="N21" i="4"/>
  <c r="K21" i="4"/>
  <c r="H21" i="4"/>
  <c r="F21" i="4"/>
  <c r="E21" i="4"/>
  <c r="J21" i="4" s="1"/>
  <c r="N20" i="4"/>
  <c r="K20" i="4"/>
  <c r="H20" i="4"/>
  <c r="F20" i="4"/>
  <c r="E20" i="4"/>
  <c r="N19" i="4"/>
  <c r="K19" i="4"/>
  <c r="H19" i="4"/>
  <c r="F19" i="4"/>
  <c r="E19" i="4"/>
  <c r="J19" i="4" s="1"/>
  <c r="N14" i="4"/>
  <c r="K14" i="4"/>
  <c r="H14" i="4"/>
  <c r="F14" i="4"/>
  <c r="E14" i="4"/>
  <c r="N13" i="4"/>
  <c r="K13" i="4"/>
  <c r="H13" i="4"/>
  <c r="F13" i="4"/>
  <c r="E13" i="4"/>
  <c r="J13" i="4" s="1"/>
  <c r="N12" i="4"/>
  <c r="K12" i="4"/>
  <c r="H12" i="4"/>
  <c r="F12" i="4"/>
  <c r="E12" i="4"/>
  <c r="A10" i="4"/>
  <c r="N7" i="4"/>
  <c r="K7" i="4"/>
  <c r="J7" i="4"/>
  <c r="G7" i="4"/>
  <c r="I7" i="4" s="1"/>
  <c r="N6" i="4"/>
  <c r="K6" i="4"/>
  <c r="J6" i="4"/>
  <c r="I6" i="4"/>
  <c r="G6" i="4"/>
  <c r="N5" i="4"/>
  <c r="K5" i="4"/>
  <c r="J5" i="4"/>
  <c r="L5" i="4" s="1"/>
  <c r="G5" i="4"/>
  <c r="I5" i="4" s="1"/>
  <c r="M6" i="4" l="1"/>
  <c r="O6" i="4" s="1"/>
  <c r="P6" i="4" s="1"/>
  <c r="L6" i="4"/>
  <c r="M5" i="4"/>
  <c r="O5" i="4" s="1"/>
  <c r="P5" i="4" s="1"/>
  <c r="L7" i="4"/>
  <c r="J12" i="4"/>
  <c r="L12" i="4" s="1"/>
  <c r="L13" i="4"/>
  <c r="J14" i="4"/>
  <c r="L14" i="4" s="1"/>
  <c r="L19" i="4"/>
  <c r="J20" i="4"/>
  <c r="L20" i="4" s="1"/>
  <c r="L21" i="4"/>
  <c r="C4" i="8"/>
  <c r="C5" i="8" s="1"/>
  <c r="M7" i="4"/>
  <c r="O7" i="4" s="1"/>
  <c r="P7" i="4" s="1"/>
  <c r="G12" i="4"/>
  <c r="I12" i="4" s="1"/>
  <c r="G13" i="4"/>
  <c r="I13" i="4" s="1"/>
  <c r="G14" i="4"/>
  <c r="I14" i="4" s="1"/>
  <c r="G19" i="4"/>
  <c r="I19" i="4" s="1"/>
  <c r="G20" i="4"/>
  <c r="I20" i="4" s="1"/>
  <c r="G21" i="4"/>
  <c r="I21" i="4" s="1"/>
  <c r="M14" i="4" l="1"/>
  <c r="O14" i="4" s="1"/>
  <c r="P14" i="4" s="1"/>
  <c r="M21" i="4"/>
  <c r="O21" i="4" s="1"/>
  <c r="P21" i="4" s="1"/>
  <c r="M19" i="4"/>
  <c r="O19" i="4" s="1"/>
  <c r="P19" i="4" s="1"/>
  <c r="M13" i="4"/>
  <c r="O13" i="4" s="1"/>
  <c r="P13" i="4" s="1"/>
  <c r="M20" i="4"/>
  <c r="O20" i="4" s="1"/>
  <c r="P20" i="4" s="1"/>
  <c r="M12" i="4"/>
  <c r="O12" i="4" s="1"/>
  <c r="P1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5" authorId="0" shapeId="0" xr:uid="{00000000-0006-0000-0900-000001000000}">
      <text>
        <r>
          <rPr>
            <b/>
            <sz val="9"/>
            <color indexed="81"/>
            <rFont val="Tahoma"/>
            <family val="2"/>
          </rPr>
          <t>لا تخصم الا مرة واحدة</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3" authorId="0" shapeId="0" xr:uid="{D24B48D7-0B3C-4FB0-9767-890563D4C6C8}">
      <text>
        <r>
          <rPr>
            <b/>
            <sz val="9"/>
            <color indexed="81"/>
            <rFont val="Tahoma"/>
            <family val="2"/>
          </rPr>
          <t>اذا كان صافى الربح اقل من او يساوى 600000
وغير ذلك لا يمنح الممول الاعفاء العام</t>
        </r>
      </text>
    </comment>
    <comment ref="E3" authorId="0" shapeId="0" xr:uid="{3CB3484B-76E6-4770-9358-689B6DD78EF4}">
      <text>
        <r>
          <rPr>
            <b/>
            <sz val="11"/>
            <color indexed="81"/>
            <rFont val="Tahoma"/>
            <family val="2"/>
          </rPr>
          <t>تم تطبيق القانون 175 لسنة 2023 بتاريخ  31 أكتوبر 2023 
وبما ان الواقعة المنشاة للضريبة هى وافقة صرف المرتب
لذلك
اذا قمت بصرف مرتبات شهر أكتوبر 2023 
قبل يوم 31 أكتوبر 
فسيتم تطبيق هذه المعادلة من اول نوفمبر 2023
وعليه يتم تطبيق معادلة قانون 30 لسنة 2023 
على مرتبات اكتوبر 2023 
اما اذا قمت بصرف مرتبات أكتوبر يوم 31 أكتوبر او بعد ذلك اليوم فسيتم تطبيق هذه المعادة من اول أكتوبر
وهذ للعلم
ولكن بعد صدور الكتاب الدورى رقم 10 لسنة 2023 انتهى الجدال واصبحت من الضريبة شهر يوليو الى شهر اكتوبر  2023 تحسب طبقا للقانون 30 لسنة 2023  وشهور نوفمبر وديسمبر تحسب طبق للقانون 175 لسنة 2023</t>
        </r>
      </text>
    </comment>
    <comment ref="G3" authorId="0" shapeId="0" xr:uid="{B1F9539D-FA1B-4EC3-91F9-7E7C7371884D}">
      <text>
        <r>
          <rPr>
            <b/>
            <sz val="12"/>
            <color indexed="81"/>
            <rFont val="Tahoma"/>
            <family val="2"/>
          </rPr>
          <t>ضع الراتب الشهرى قبل خصم الاعفاء العام والشخصى
وتلقائيا ستتعدل جميع الخلايا
ويتم احتساب الضرائب 
سواء الشهرية  او السنويةوفقا لكل قانون
كما ستحتسب  ايضا تلقايا الضريبة الخاصة  بالتسويات والتى يتم فيها وضع صافى الايراد بعد خصم الاعفاء الشخصى والعام 
والتى تبدا بالصف رقم 24 من هذا الشيت</t>
        </r>
      </text>
    </comment>
    <comment ref="D5" authorId="0" shapeId="0" xr:uid="{24AFDEEF-B0A5-47E4-8C65-94619A8C61CC}">
      <text>
        <r>
          <rPr>
            <b/>
            <sz val="9"/>
            <color indexed="81"/>
            <rFont val="Tahoma"/>
            <family val="2"/>
          </rPr>
          <t>اذا كان صافى الربح اقل من او يساوى 600000
وغير ذلك لا يمنح الممول الاعفاء العام</t>
        </r>
      </text>
    </comment>
    <comment ref="D7" authorId="0" shapeId="0" xr:uid="{00000000-0006-0000-0000-000002000000}">
      <text>
        <r>
          <rPr>
            <b/>
            <sz val="9"/>
            <color indexed="81"/>
            <rFont val="Tahoma"/>
            <family val="2"/>
          </rPr>
          <t>اذا كان صافى الربح اقل من او يساوى 600000
وغير ذلك لا يمنح الممول الاعفاء العام</t>
        </r>
      </text>
    </comment>
    <comment ref="E24" authorId="0" shapeId="0" xr:uid="{954EEDEB-FA8A-4A38-BD4E-CA0FC378CC5A}">
      <text/>
    </comment>
    <comment ref="I41" authorId="0" shapeId="0" xr:uid="{D2FD1BA3-B9B0-42E0-8035-A2DC6EC5E975}">
      <text>
        <r>
          <rPr>
            <sz val="9"/>
            <color indexed="81"/>
            <rFont val="Tahoma"/>
            <family val="2"/>
          </rPr>
          <t xml:space="preserve">
</t>
        </r>
        <r>
          <rPr>
            <b/>
            <sz val="14"/>
            <color indexed="81"/>
            <rFont val="Tahoma"/>
            <family val="2"/>
          </rPr>
          <t xml:space="preserve">لماذا هذه المعادلة تصلح لفترتين 
ذلك لان ما تغير هو الاعفاء الشخصى فقط
اما الاعفاء العام و باقى الشرائح وكذلك النسب لم تتغير
والمعادلة هنا </t>
        </r>
        <r>
          <rPr>
            <b/>
            <u/>
            <sz val="18"/>
            <color indexed="81"/>
            <rFont val="Tahoma"/>
            <family val="2"/>
          </rPr>
          <t>بعد</t>
        </r>
        <r>
          <rPr>
            <b/>
            <sz val="14"/>
            <color indexed="81"/>
            <rFont val="Tahoma"/>
            <family val="2"/>
          </rPr>
          <t xml:space="preserve"> الاعفاء الشخصى والعام وعليه 
 اصبحت  المعدلة تصلح لنفس  الفترتين
اما تغير الاعفاء العام فقط فى حد ذاته يعتبر تغيير لكل الشرائح التى بعده بالمقارنه مع القانون الذى يسبقه</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600-000001000000}">
      <text>
        <r>
          <rPr>
            <b/>
            <sz val="8"/>
            <color indexed="81"/>
            <rFont val="Tahoma"/>
            <family val="2"/>
          </rPr>
          <t>المعادلتين مختلفتين</t>
        </r>
      </text>
    </comment>
    <comment ref="C4" authorId="0" shapeId="0" xr:uid="{00000000-0006-0000-0600-000002000000}">
      <text>
        <r>
          <rPr>
            <b/>
            <sz val="8"/>
            <color indexed="81"/>
            <rFont val="Tahoma"/>
            <family val="2"/>
          </rPr>
          <t>Author:</t>
        </r>
        <r>
          <rPr>
            <sz val="8"/>
            <color indexed="81"/>
            <rFont val="Tahoma"/>
            <family val="2"/>
          </rPr>
          <t xml:space="preserve">
ضع هنا مبلغ الضريبة يظهر لك صافى الربح</t>
        </r>
      </text>
    </comment>
    <comment ref="F4" authorId="0" shapeId="0" xr:uid="{00000000-0006-0000-0600-000003000000}">
      <text>
        <r>
          <rPr>
            <b/>
            <sz val="8"/>
            <color indexed="81"/>
            <rFont val="Tahoma"/>
            <family val="2"/>
          </rPr>
          <t>%0-%10
5000xالناتج
ثم يطرح</t>
        </r>
      </text>
    </comment>
    <comment ref="F5" authorId="0" shapeId="0" xr:uid="{00000000-0006-0000-0600-000004000000}">
      <text>
        <r>
          <rPr>
            <b/>
            <sz val="8"/>
            <color indexed="81"/>
            <rFont val="Tahoma"/>
            <family val="2"/>
          </rPr>
          <t>%10-%15
30000xالناتج
500+الناتج
ثم يطرح</t>
        </r>
      </text>
    </comment>
    <comment ref="F6" authorId="0" shapeId="0" xr:uid="{00000000-0006-0000-0600-000005000000}">
      <text>
        <r>
          <rPr>
            <sz val="10"/>
            <color indexed="81"/>
            <rFont val="Tahoma"/>
            <family val="2"/>
          </rPr>
          <t xml:space="preserve">%15-%20
45000xالناتج
2000+الناتج
ثم يطرح
</t>
        </r>
      </text>
    </comment>
    <comment ref="F7" authorId="0" shapeId="0" xr:uid="{00000000-0006-0000-0600-000006000000}">
      <text>
        <r>
          <rPr>
            <b/>
            <sz val="8"/>
            <color indexed="81"/>
            <rFont val="Tahoma"/>
            <family val="2"/>
          </rPr>
          <t>20%-25%
250000xالناتج
4250+الناتج
ثم يطرح</t>
        </r>
      </text>
    </comment>
    <comment ref="E11" authorId="0" shapeId="0" xr:uid="{00000000-0006-0000-0600-000007000000}">
      <text>
        <r>
          <rPr>
            <b/>
            <sz val="8"/>
            <color indexed="81"/>
            <rFont val="Tahoma"/>
            <family val="2"/>
          </rPr>
          <t>Author:</t>
        </r>
        <r>
          <rPr>
            <sz val="8"/>
            <color indexed="81"/>
            <rFont val="Tahoma"/>
            <family val="2"/>
          </rPr>
          <t xml:space="preserve">
الحد الاقصى للشريحه التانيه 
من 8000
 الى 30000 يعنى
 22000 *10% =2200
ثم تطبق نسب الخصم 
2200*15%=330</t>
        </r>
      </text>
    </comment>
    <comment ref="E12" authorId="0" shapeId="0" xr:uid="{00000000-0006-0000-0600-000008000000}">
      <text>
        <r>
          <rPr>
            <b/>
            <sz val="8"/>
            <color indexed="81"/>
            <rFont val="Tahoma"/>
            <family val="2"/>
          </rPr>
          <t>الحد الاقصى للشريحه الثالثه 
من 30000 الى 45000 يعنى 15000 *15% 4450=2250+2200=
ثم تطبق نسبة الخصم
4450*55% =2447.5</t>
        </r>
      </text>
    </comment>
    <comment ref="E13" authorId="0" shapeId="0" xr:uid="{00000000-0006-0000-0600-000009000000}">
      <text>
        <r>
          <rPr>
            <b/>
            <sz val="8"/>
            <color indexed="81"/>
            <rFont val="Tahoma"/>
            <family val="2"/>
          </rPr>
          <t>Author:</t>
        </r>
        <r>
          <rPr>
            <sz val="8"/>
            <color indexed="81"/>
            <rFont val="Tahoma"/>
            <family val="2"/>
          </rPr>
          <t xml:space="preserve">
الحد الاقصى للشريحه الرابعه 
من 45000 الى 200000 يعنى =155000 *20% 
=31000+4450=35450
ثم تطبق نسبة الخصم
35450*92.5%=32791.25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500-000001000000}">
      <text>
        <r>
          <rPr>
            <b/>
            <sz val="8"/>
            <color indexed="81"/>
            <rFont val="Tahoma"/>
            <family val="2"/>
          </rPr>
          <t>المعادلتين مختلفتين</t>
        </r>
      </text>
    </comment>
    <comment ref="C4" authorId="0" shapeId="0" xr:uid="{00000000-0006-0000-0500-000002000000}">
      <text>
        <r>
          <rPr>
            <b/>
            <sz val="8"/>
            <color indexed="81"/>
            <rFont val="Tahoma"/>
            <family val="2"/>
          </rPr>
          <t>Author:</t>
        </r>
        <r>
          <rPr>
            <sz val="8"/>
            <color indexed="81"/>
            <rFont val="Tahoma"/>
            <family val="2"/>
          </rPr>
          <t xml:space="preserve">
ضع هنا مبلغ الضريبة يظهر لك صافى الربح</t>
        </r>
      </text>
    </comment>
    <comment ref="F4" authorId="0" shapeId="0" xr:uid="{00000000-0006-0000-0500-000003000000}">
      <text>
        <r>
          <rPr>
            <b/>
            <sz val="8"/>
            <color indexed="81"/>
            <rFont val="Tahoma"/>
            <family val="2"/>
          </rPr>
          <t>%0-%10
5000xالناتج
ثم يطرح</t>
        </r>
      </text>
    </comment>
    <comment ref="F5" authorId="0" shapeId="0" xr:uid="{00000000-0006-0000-0500-000004000000}">
      <text>
        <r>
          <rPr>
            <b/>
            <sz val="8"/>
            <color indexed="81"/>
            <rFont val="Tahoma"/>
            <family val="2"/>
          </rPr>
          <t>%10-%15
30000xالناتج
500+الناتج
ثم يطرح</t>
        </r>
      </text>
    </comment>
    <comment ref="F6" authorId="0" shapeId="0" xr:uid="{00000000-0006-0000-0500-000005000000}">
      <text>
        <r>
          <rPr>
            <sz val="10"/>
            <color indexed="81"/>
            <rFont val="Tahoma"/>
            <family val="2"/>
          </rPr>
          <t xml:space="preserve">%15-%20
45000xالناتج
2000+الناتج
ثم يطرح
</t>
        </r>
      </text>
    </comment>
    <comment ref="F7" authorId="0" shapeId="0" xr:uid="{00000000-0006-0000-0500-000006000000}">
      <text>
        <r>
          <rPr>
            <b/>
            <sz val="8"/>
            <color indexed="81"/>
            <rFont val="Tahoma"/>
            <family val="2"/>
          </rPr>
          <t>20%-25%
250000xالناتج
4250+الناتج
ثم يطرح</t>
        </r>
      </text>
    </comment>
    <comment ref="E11" authorId="0" shapeId="0" xr:uid="{00000000-0006-0000-0500-000007000000}">
      <text>
        <r>
          <rPr>
            <b/>
            <sz val="8"/>
            <color indexed="81"/>
            <rFont val="Tahoma"/>
            <family val="2"/>
          </rPr>
          <t>Author:</t>
        </r>
        <r>
          <rPr>
            <sz val="8"/>
            <color indexed="81"/>
            <rFont val="Tahoma"/>
            <family val="2"/>
          </rPr>
          <t xml:space="preserve">
الحد الاقصى للشريحه التانيه 
من 6500 الى 30000 يعنى 23500 *10% =2350
</t>
        </r>
      </text>
    </comment>
    <comment ref="E12" authorId="0" shapeId="0" xr:uid="{00000000-0006-0000-0500-000008000000}">
      <text>
        <r>
          <rPr>
            <b/>
            <sz val="8"/>
            <color indexed="81"/>
            <rFont val="Tahoma"/>
            <family val="2"/>
          </rPr>
          <t>الحد الاقصى للشريحه الثالثه 
من 30000 الى 45000 يعنى 15000 *15% 4600=2250+2350=</t>
        </r>
      </text>
    </comment>
    <comment ref="E13" authorId="0" shapeId="0" xr:uid="{00000000-0006-0000-0500-000009000000}">
      <text>
        <r>
          <rPr>
            <b/>
            <sz val="8"/>
            <color indexed="81"/>
            <rFont val="Tahoma"/>
            <family val="2"/>
          </rPr>
          <t>Author:</t>
        </r>
        <r>
          <rPr>
            <sz val="8"/>
            <color indexed="81"/>
            <rFont val="Tahoma"/>
            <family val="2"/>
          </rPr>
          <t xml:space="preserve">
الحد الاقصى للشريحه الرابعه 
من 45000 الى 200000 يعنى =155000 *20% =31000+4600=35600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400-000001000000}">
      <text>
        <r>
          <rPr>
            <b/>
            <sz val="8"/>
            <color indexed="81"/>
            <rFont val="Tahoma"/>
            <family val="2"/>
          </rPr>
          <t>المعادلتين مختلفتين</t>
        </r>
      </text>
    </comment>
    <comment ref="B4" authorId="0" shapeId="0" xr:uid="{00000000-0006-0000-0400-000002000000}">
      <text>
        <r>
          <rPr>
            <b/>
            <sz val="8"/>
            <color indexed="81"/>
            <rFont val="Tahoma"/>
            <family val="2"/>
          </rPr>
          <t>Author:</t>
        </r>
        <r>
          <rPr>
            <sz val="8"/>
            <color indexed="81"/>
            <rFont val="Tahoma"/>
            <family val="2"/>
          </rPr>
          <t xml:space="preserve">
ضع هنا مبلغ الضريبة يظهر لك صافى الربح</t>
        </r>
      </text>
    </comment>
    <comment ref="F4" authorId="0" shapeId="0" xr:uid="{00000000-0006-0000-0400-000003000000}">
      <text>
        <r>
          <rPr>
            <b/>
            <sz val="8"/>
            <color indexed="81"/>
            <rFont val="Tahoma"/>
            <family val="2"/>
          </rPr>
          <t>%0-%10
5000xالناتج
ثم يطرح</t>
        </r>
      </text>
    </comment>
    <comment ref="F5" authorId="0" shapeId="0" xr:uid="{00000000-0006-0000-0400-000004000000}">
      <text>
        <r>
          <rPr>
            <b/>
            <sz val="8"/>
            <color indexed="81"/>
            <rFont val="Tahoma"/>
            <family val="2"/>
          </rPr>
          <t>%10-%15
30000xالناتج
500+الناتج
ثم يطرح</t>
        </r>
      </text>
    </comment>
    <comment ref="F6" authorId="0" shapeId="0" xr:uid="{00000000-0006-0000-0400-000005000000}">
      <text>
        <r>
          <rPr>
            <sz val="10"/>
            <color indexed="81"/>
            <rFont val="Tahoma"/>
            <family val="2"/>
          </rPr>
          <t xml:space="preserve">%15-%20
45000xالناتج
2000+الناتج
ثم يطرح
</t>
        </r>
      </text>
    </comment>
    <comment ref="F7" authorId="0" shapeId="0" xr:uid="{00000000-0006-0000-0400-000006000000}">
      <text>
        <r>
          <rPr>
            <b/>
            <sz val="8"/>
            <color indexed="81"/>
            <rFont val="Tahoma"/>
            <family val="2"/>
          </rPr>
          <t>20%-25%
250000xالناتج
4250+الناتج
ثم يطرح</t>
        </r>
      </text>
    </comment>
    <comment ref="E11" authorId="0" shapeId="0" xr:uid="{00000000-0006-0000-0400-000007000000}">
      <text>
        <r>
          <rPr>
            <b/>
            <sz val="8"/>
            <color indexed="81"/>
            <rFont val="Tahoma"/>
            <family val="2"/>
          </rPr>
          <t>Author:</t>
        </r>
        <r>
          <rPr>
            <sz val="8"/>
            <color indexed="81"/>
            <rFont val="Tahoma"/>
            <family val="2"/>
          </rPr>
          <t xml:space="preserve">
الحد الاقصى للشريحه التانيه 
من 6500 الى 30000 يعنى 23500 *10% =2350
</t>
        </r>
      </text>
    </comment>
    <comment ref="E12" authorId="0" shapeId="0" xr:uid="{00000000-0006-0000-0400-000008000000}">
      <text>
        <r>
          <rPr>
            <b/>
            <sz val="8"/>
            <color indexed="81"/>
            <rFont val="Tahoma"/>
            <family val="2"/>
          </rPr>
          <t>الحد الاقصى للشريحه الثالثه 
من 30000 الى 45000 يعنى 15000 *15% 4600=2250+2350=</t>
        </r>
      </text>
    </comment>
    <comment ref="E13" authorId="0" shapeId="0" xr:uid="{00000000-0006-0000-0400-000009000000}">
      <text>
        <r>
          <rPr>
            <b/>
            <sz val="8"/>
            <color indexed="81"/>
            <rFont val="Tahoma"/>
            <family val="2"/>
          </rPr>
          <t>Author:</t>
        </r>
        <r>
          <rPr>
            <sz val="8"/>
            <color indexed="81"/>
            <rFont val="Tahoma"/>
            <family val="2"/>
          </rPr>
          <t xml:space="preserve">
الحد الاقصى للشريحه الرابعه 
من 45000 الى 200000 يعنى =155000 *20% =31000+4600=35600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300-000001000000}">
      <text>
        <r>
          <rPr>
            <b/>
            <sz val="8"/>
            <color indexed="81"/>
            <rFont val="Tahoma"/>
            <family val="2"/>
          </rPr>
          <t>المعادلتين مختلفتين</t>
        </r>
      </text>
    </comment>
    <comment ref="B4" authorId="0" shapeId="0" xr:uid="{00000000-0006-0000-0300-000002000000}">
      <text>
        <r>
          <rPr>
            <b/>
            <sz val="8"/>
            <color indexed="81"/>
            <rFont val="Tahoma"/>
            <family val="2"/>
          </rPr>
          <t>Author:</t>
        </r>
        <r>
          <rPr>
            <sz val="8"/>
            <color indexed="81"/>
            <rFont val="Tahoma"/>
            <family val="2"/>
          </rPr>
          <t xml:space="preserve">
ضع هنا مبلغ الضريبة يظهر لك صافى الربح</t>
        </r>
      </text>
    </comment>
    <comment ref="F4" authorId="0" shapeId="0" xr:uid="{00000000-0006-0000-0300-000003000000}">
      <text>
        <r>
          <rPr>
            <b/>
            <sz val="8"/>
            <color indexed="81"/>
            <rFont val="Tahoma"/>
            <family val="2"/>
          </rPr>
          <t>%0-%10
5000xالناتج
ثم يطرح</t>
        </r>
      </text>
    </comment>
    <comment ref="F5" authorId="0" shapeId="0" xr:uid="{00000000-0006-0000-0300-000004000000}">
      <text>
        <r>
          <rPr>
            <b/>
            <sz val="8"/>
            <color indexed="81"/>
            <rFont val="Tahoma"/>
            <family val="2"/>
          </rPr>
          <t>%10-%15
30000xالناتج
500+الناتج
ثم يطرح</t>
        </r>
      </text>
    </comment>
    <comment ref="F6" authorId="0" shapeId="0" xr:uid="{00000000-0006-0000-0300-000005000000}">
      <text>
        <r>
          <rPr>
            <sz val="10"/>
            <color indexed="81"/>
            <rFont val="Tahoma"/>
            <family val="2"/>
          </rPr>
          <t xml:space="preserve">%15-%20
45000xالناتج
2000+الناتج
ثم يطرح
</t>
        </r>
      </text>
    </comment>
    <comment ref="F7" authorId="0" shapeId="0" xr:uid="{00000000-0006-0000-0300-000006000000}">
      <text>
        <r>
          <rPr>
            <b/>
            <sz val="8"/>
            <color indexed="81"/>
            <rFont val="Tahoma"/>
            <family val="2"/>
          </rPr>
          <t>20%-25%
250000xالناتج
4250+الناتج
ثم يطرح</t>
        </r>
      </text>
    </comment>
    <comment ref="E11" authorId="0" shapeId="0" xr:uid="{00000000-0006-0000-0300-000007000000}">
      <text>
        <r>
          <rPr>
            <b/>
            <sz val="8"/>
            <color indexed="81"/>
            <rFont val="Tahoma"/>
            <family val="2"/>
          </rPr>
          <t>Author:</t>
        </r>
        <r>
          <rPr>
            <sz val="8"/>
            <color indexed="81"/>
            <rFont val="Tahoma"/>
            <family val="2"/>
          </rPr>
          <t xml:space="preserve">
الحد الاقصى للشريحه التانيه 
من 5000 الى 30000 يعنى 25000 *10% =2500
</t>
        </r>
      </text>
    </comment>
    <comment ref="E12" authorId="0" shapeId="0" xr:uid="{00000000-0006-0000-0300-000008000000}">
      <text>
        <r>
          <rPr>
            <b/>
            <sz val="8"/>
            <color indexed="81"/>
            <rFont val="Tahoma"/>
            <family val="2"/>
          </rPr>
          <t>الحد الاقصى للشريحه الثالثه 
من 30000 الى 45000 يعنى 15000 *15% 4750=2250+2500=</t>
        </r>
      </text>
    </comment>
    <comment ref="E13" authorId="0" shapeId="0" xr:uid="{00000000-0006-0000-0300-000009000000}">
      <text>
        <r>
          <rPr>
            <b/>
            <sz val="8"/>
            <color indexed="81"/>
            <rFont val="Tahoma"/>
            <family val="2"/>
          </rPr>
          <t>Author:</t>
        </r>
        <r>
          <rPr>
            <sz val="8"/>
            <color indexed="81"/>
            <rFont val="Tahoma"/>
            <family val="2"/>
          </rPr>
          <t xml:space="preserve">
الحد الاقصى للشريحه الرابعه 
من 45000 الى 250000 يعنى =205000 *20% =41000+4750=45750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200-000001000000}">
      <text>
        <r>
          <rPr>
            <b/>
            <sz val="8"/>
            <color indexed="81"/>
            <rFont val="Tahoma"/>
            <family val="2"/>
          </rPr>
          <t>المعادلتين مختلفتين</t>
        </r>
      </text>
    </comment>
    <comment ref="B4" authorId="0" shapeId="0" xr:uid="{00000000-0006-0000-0200-000002000000}">
      <text>
        <r>
          <rPr>
            <b/>
            <sz val="8"/>
            <color indexed="81"/>
            <rFont val="Tahoma"/>
            <family val="2"/>
          </rPr>
          <t>Author:</t>
        </r>
        <r>
          <rPr>
            <sz val="8"/>
            <color indexed="81"/>
            <rFont val="Tahoma"/>
            <family val="2"/>
          </rPr>
          <t xml:space="preserve">
ضع هنا مبلغ الضريبة يظهر لك صافى الربح</t>
        </r>
      </text>
    </comment>
    <comment ref="F4" authorId="0" shapeId="0" xr:uid="{00000000-0006-0000-0200-000003000000}">
      <text>
        <r>
          <rPr>
            <b/>
            <sz val="8"/>
            <color indexed="81"/>
            <rFont val="Tahoma"/>
            <family val="2"/>
          </rPr>
          <t>%0-%10
5000xالناتج
ثم يطرح</t>
        </r>
      </text>
    </comment>
    <comment ref="F5" authorId="0" shapeId="0" xr:uid="{00000000-0006-0000-0200-000004000000}">
      <text>
        <r>
          <rPr>
            <b/>
            <sz val="8"/>
            <color indexed="81"/>
            <rFont val="Tahoma"/>
            <family val="2"/>
          </rPr>
          <t>%10-%15
20000xالناتج
500+الناتج
ثم يطرح</t>
        </r>
      </text>
    </comment>
    <comment ref="E6" authorId="0" shapeId="0" xr:uid="{00000000-0006-0000-0200-000005000000}">
      <text>
        <r>
          <rPr>
            <b/>
            <sz val="8"/>
            <color indexed="81"/>
            <rFont val="Tahoma"/>
            <family val="2"/>
          </rPr>
          <t>عشره مليون جنيه مصرى</t>
        </r>
      </text>
    </comment>
    <comment ref="F6" authorId="0" shapeId="0" xr:uid="{00000000-0006-0000-0200-000006000000}">
      <text>
        <r>
          <rPr>
            <sz val="10"/>
            <color indexed="81"/>
            <rFont val="Tahoma"/>
            <family val="2"/>
          </rPr>
          <t xml:space="preserve">%15-%20
40000xالناتج
1500+الناتج
ثم يطرح
</t>
        </r>
      </text>
    </comment>
    <comment ref="F7" authorId="0" shapeId="0" xr:uid="{00000000-0006-0000-0200-000007000000}">
      <text>
        <r>
          <rPr>
            <b/>
            <sz val="8"/>
            <color indexed="81"/>
            <rFont val="Tahoma"/>
            <family val="2"/>
          </rPr>
          <t>20%-25%
10000000xالناتج
3500+الناتج
ثم يطرح</t>
        </r>
      </text>
    </comment>
    <comment ref="B9" authorId="0" shapeId="0" xr:uid="{00000000-0006-0000-0200-000008000000}">
      <text>
        <r>
          <rPr>
            <b/>
            <sz val="8"/>
            <color indexed="81"/>
            <rFont val="Tahoma"/>
            <family val="2"/>
          </rPr>
          <t>Author:</t>
        </r>
        <r>
          <rPr>
            <sz val="8"/>
            <color indexed="81"/>
            <rFont val="Tahoma"/>
            <family val="2"/>
          </rPr>
          <t xml:space="preserve">
ضع هنا هامش الربح من التكلفة
</t>
        </r>
      </text>
    </comment>
    <comment ref="E11" authorId="0" shapeId="0" xr:uid="{00000000-0006-0000-0200-000009000000}">
      <text>
        <r>
          <rPr>
            <b/>
            <sz val="8"/>
            <color indexed="81"/>
            <rFont val="Tahoma"/>
            <family val="2"/>
          </rPr>
          <t>Author:</t>
        </r>
        <r>
          <rPr>
            <sz val="8"/>
            <color indexed="81"/>
            <rFont val="Tahoma"/>
            <family val="2"/>
          </rPr>
          <t xml:space="preserve">
الحد الاقصى للشريحه التانيه 
من 5000 الى 20000 يعنى 15000 *10% =1500
</t>
        </r>
      </text>
    </comment>
    <comment ref="E12" authorId="0" shapeId="0" xr:uid="{00000000-0006-0000-0200-00000A000000}">
      <text>
        <r>
          <rPr>
            <b/>
            <sz val="8"/>
            <color indexed="81"/>
            <rFont val="Tahoma"/>
            <family val="2"/>
          </rPr>
          <t>الحد الاقصى للشريحه الثالثه 
من 20000 الى 40000 يعنى 20000 *15% 4500=3000+1500=</t>
        </r>
      </text>
    </comment>
    <comment ref="E13" authorId="0" shapeId="0" xr:uid="{00000000-0006-0000-0200-00000B000000}">
      <text>
        <r>
          <rPr>
            <b/>
            <sz val="8"/>
            <color indexed="81"/>
            <rFont val="Tahoma"/>
            <family val="2"/>
          </rPr>
          <t>Author:</t>
        </r>
        <r>
          <rPr>
            <sz val="8"/>
            <color indexed="81"/>
            <rFont val="Tahoma"/>
            <family val="2"/>
          </rPr>
          <t xml:space="preserve">
الحد الاقصى للشريحه الرابعه 
من 40000 الى 10000000 يعنى =9960000 *20% =1992000+4500=1996500
</t>
        </r>
      </text>
    </comment>
    <comment ref="B14" authorId="0" shapeId="0" xr:uid="{00000000-0006-0000-0200-00000C000000}">
      <text>
        <r>
          <rPr>
            <b/>
            <sz val="8"/>
            <color indexed="81"/>
            <rFont val="Tahoma"/>
            <family val="2"/>
          </rPr>
          <t>Author:
ضع هنا هامش الربح من سعر البيع</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K4" authorId="0" shapeId="0" xr:uid="{00000000-0006-0000-0100-000001000000}">
      <text>
        <r>
          <rPr>
            <b/>
            <sz val="9"/>
            <color indexed="81"/>
            <rFont val="Tahoma"/>
            <family val="2"/>
          </rPr>
          <t>Author:</t>
        </r>
        <r>
          <rPr>
            <sz val="9"/>
            <color indexed="81"/>
            <rFont val="Tahoma"/>
            <family val="2"/>
          </rPr>
          <t xml:space="preserve">
يراعى عند اعداد تسويات كسب العمل السنوية للعام 2020 اذا كان صافى دخل الموظف اكتر من 600000  (ستمائة الف جنيه مصرى ) قى هذا العام ان تكون خانة الاعفاء العام بقيمة صفر</t>
        </r>
      </text>
    </comment>
  </commentList>
</comments>
</file>

<file path=xl/sharedStrings.xml><?xml version="1.0" encoding="utf-8"?>
<sst xmlns="http://schemas.openxmlformats.org/spreadsheetml/2006/main" count="515" uniqueCount="206">
  <si>
    <t>الى</t>
  </si>
  <si>
    <t xml:space="preserve">من </t>
  </si>
  <si>
    <t>الضريبة الشهرية</t>
  </si>
  <si>
    <t>الضريبة السنوية</t>
  </si>
  <si>
    <t>الضريبة الشهرية*12</t>
  </si>
  <si>
    <t>الفرق</t>
  </si>
  <si>
    <t>صافى الايراد السنوى بعد خصم الاعفاء الشخصى والاعفاء العام</t>
  </si>
  <si>
    <t>م</t>
  </si>
  <si>
    <t>الاســــم</t>
  </si>
  <si>
    <t xml:space="preserve">تاريخ التعيين </t>
  </si>
  <si>
    <t xml:space="preserve">الأساسي </t>
  </si>
  <si>
    <t xml:space="preserve">بدلات اخرى </t>
  </si>
  <si>
    <t>إجمالي الدخل</t>
  </si>
  <si>
    <t xml:space="preserve">الاستقطاعات </t>
  </si>
  <si>
    <t xml:space="preserve">إجمالي الاستقطاعات </t>
  </si>
  <si>
    <t xml:space="preserve">شريحة معفاة </t>
  </si>
  <si>
    <t xml:space="preserve">المدة </t>
  </si>
  <si>
    <t xml:space="preserve">ثابت </t>
  </si>
  <si>
    <t xml:space="preserve">متغير </t>
  </si>
  <si>
    <t>ح . ع . ت</t>
  </si>
  <si>
    <t xml:space="preserve">إعفاء شخصي </t>
  </si>
  <si>
    <t xml:space="preserve">ثناء محمد طنطاوي </t>
  </si>
  <si>
    <t xml:space="preserve">يحيى عبد الستار حسنين </t>
  </si>
  <si>
    <t>وائل السيد حامد</t>
  </si>
  <si>
    <t>الفترة من 2013/6/1 حتى 2013/8/31</t>
  </si>
  <si>
    <t>الفترة من 2013/1/1 حتى 2013/5/1</t>
  </si>
  <si>
    <t>الفترة من 2013/9/1 حتى 2013/21/31</t>
  </si>
  <si>
    <t>ملاحظة هامة جدا ان اجمالى الاعفاء الشخصى فى عام 2013 هو 5000</t>
  </si>
  <si>
    <t>الوعاء الضريبي السنوى</t>
  </si>
  <si>
    <t>الضريبة المستحقة</t>
  </si>
  <si>
    <t>صافى الايراد</t>
  </si>
  <si>
    <t xml:space="preserve">الضريبه المستحقه </t>
  </si>
  <si>
    <t>صافى الربح</t>
  </si>
  <si>
    <t>حتى 2010 كانو 3 شرائح فقط يعنى اكتر من 40000 نضرب*20%</t>
  </si>
  <si>
    <t>الشركات 20%</t>
  </si>
  <si>
    <t>من</t>
  </si>
  <si>
    <t>الضريبه</t>
  </si>
  <si>
    <t>الشركات 20% والشريحة الرابعة 25%</t>
  </si>
  <si>
    <t>صفر</t>
  </si>
  <si>
    <t>صافر الربح</t>
  </si>
  <si>
    <t>500- (%10*صافى الربح)</t>
  </si>
  <si>
    <t>1500- (%15*صافى الربح)</t>
  </si>
  <si>
    <t xml:space="preserve"> </t>
  </si>
  <si>
    <t>3500- (%20*صافى الربح)</t>
  </si>
  <si>
    <t xml:space="preserve"> -----</t>
  </si>
  <si>
    <t>503500- (%25*صافى الربح)</t>
  </si>
  <si>
    <t>%10÷(500+الضريبه)</t>
  </si>
  <si>
    <t>%15÷(1500+الضريبه)</t>
  </si>
  <si>
    <t>%20÷(3500+الضريبه)</t>
  </si>
  <si>
    <t>%25÷(503500+الضريبه)</t>
  </si>
  <si>
    <t>الشركات 25%</t>
  </si>
  <si>
    <t>2000- (%15*صافى الربح)</t>
  </si>
  <si>
    <t>4250- (%20*صافى الربح)</t>
  </si>
  <si>
    <t>16750- (%25*صافى الربح)</t>
  </si>
  <si>
    <t>%15÷(2000+الضريبه)</t>
  </si>
  <si>
    <t>%20÷(4250+الضريبه)</t>
  </si>
  <si>
    <t>%25÷(16750+الضريبه)</t>
  </si>
  <si>
    <t>الشركات 22.5%</t>
  </si>
  <si>
    <t>650- (%10*صافى الربح)</t>
  </si>
  <si>
    <t>2150- (%15*صافى الربح)</t>
  </si>
  <si>
    <t>4400- (%20*صافى الربح)</t>
  </si>
  <si>
    <t>9400- (%22.5*صافى الربح)</t>
  </si>
  <si>
    <t>%10÷(650+الضريبه)</t>
  </si>
  <si>
    <t>%15÷(2150+الضريبه)</t>
  </si>
  <si>
    <t>%20÷(4400+الضريبه)</t>
  </si>
  <si>
    <t>%22.5÷(9400+الضريبه)</t>
  </si>
  <si>
    <t>20%*(720- (%10*صافى الربح))</t>
  </si>
  <si>
    <t>يخصم 80%</t>
  </si>
  <si>
    <t>60%*(2220- (%15*صافى الربح))</t>
  </si>
  <si>
    <t>يخصم 40%</t>
  </si>
  <si>
    <t>95%*(4470- (%20*صافى الربح))</t>
  </si>
  <si>
    <t>يخصم 5%</t>
  </si>
  <si>
    <t>(9470- (%22.5*صافى الربح))</t>
  </si>
  <si>
    <t>%10÷(720+20% / الضريبه)</t>
  </si>
  <si>
    <t>%15÷(2220+60 % / الضريبه )</t>
  </si>
  <si>
    <t>%20÷(4470+ 95% / الضريبه )</t>
  </si>
  <si>
    <t>%22.5÷(9470+الضريبه)</t>
  </si>
  <si>
    <t>15%*(800- (%10*صافى الربح))</t>
  </si>
  <si>
    <t>يخصم 85%</t>
  </si>
  <si>
    <t>55%*(2300- (%15*صافى الربح))</t>
  </si>
  <si>
    <t>يخصم 45%</t>
  </si>
  <si>
    <t>92.5%*(4550- (%20*صافى الربح))</t>
  </si>
  <si>
    <t>يخصم 7.5%</t>
  </si>
  <si>
    <t>(9550- (%22.5*صافى الربح))</t>
  </si>
  <si>
    <t>هامش الربح من سعر البيع=</t>
  </si>
  <si>
    <t>هامش الربح من التكلفه</t>
  </si>
  <si>
    <t>هامش الربح من التكلفه+1</t>
  </si>
  <si>
    <t>%10÷(800+15% / الضريبه)</t>
  </si>
  <si>
    <t>%15÷(2300+55 % / الضريبه )</t>
  </si>
  <si>
    <t>هامش الربح من سعر البيع</t>
  </si>
  <si>
    <t>%20÷(4550+ 92.5% / الضريبه )</t>
  </si>
  <si>
    <t>1-هامش الربح من سعر البيع</t>
  </si>
  <si>
    <t>%22.5÷(9550+الضريبه)</t>
  </si>
  <si>
    <r>
      <t>صافى الايراد السنوى</t>
    </r>
    <r>
      <rPr>
        <b/>
        <u/>
        <sz val="12"/>
        <color rgb="FFFF0000"/>
        <rFont val="Calibri"/>
        <family val="2"/>
        <scheme val="minor"/>
      </rPr>
      <t xml:space="preserve"> بعد </t>
    </r>
    <r>
      <rPr>
        <b/>
        <sz val="12"/>
        <color theme="1"/>
        <rFont val="Calibri"/>
        <family val="2"/>
        <scheme val="minor"/>
      </rPr>
      <t>خصم الاعفاء الشخصى والاعفاء العام</t>
    </r>
  </si>
  <si>
    <t>الاعفاء الشخصى</t>
  </si>
  <si>
    <t>الاعفاء العام</t>
  </si>
  <si>
    <t>دى معادلة ضريبة كسب العمل السنوية بعد خصم الاعفاء الشخصى والاعفاء العام</t>
  </si>
  <si>
    <r>
      <t xml:space="preserve">وعاء الضريبة الشهرى </t>
    </r>
    <r>
      <rPr>
        <b/>
        <u/>
        <sz val="12"/>
        <color rgb="FFFF0000"/>
        <rFont val="Calibri"/>
        <family val="2"/>
        <scheme val="minor"/>
      </rPr>
      <t>قبل</t>
    </r>
    <r>
      <rPr>
        <b/>
        <sz val="12"/>
        <color theme="1"/>
        <rFont val="Calibri"/>
        <family val="2"/>
        <scheme val="minor"/>
      </rPr>
      <t xml:space="preserve"> خصم اى اعفاء سواء شخصى او عام</t>
    </r>
  </si>
  <si>
    <r>
      <t xml:space="preserve">اجمالى الايراد السنوى </t>
    </r>
    <r>
      <rPr>
        <b/>
        <u/>
        <sz val="12"/>
        <color rgb="FFFF0000"/>
        <rFont val="Calibri"/>
        <family val="2"/>
        <scheme val="minor"/>
      </rPr>
      <t>قبل</t>
    </r>
    <r>
      <rPr>
        <b/>
        <u/>
        <sz val="12"/>
        <color theme="1"/>
        <rFont val="Calibri"/>
        <family val="2"/>
        <scheme val="minor"/>
      </rPr>
      <t xml:space="preserve"> </t>
    </r>
    <r>
      <rPr>
        <b/>
        <sz val="12"/>
        <color theme="1"/>
        <rFont val="Calibri"/>
        <family val="2"/>
        <scheme val="minor"/>
      </rPr>
      <t>خصم الاعفاء الشخصى والاعفاء العام</t>
    </r>
  </si>
  <si>
    <t>معادلة صافى الربح لن تعمل بشكل صحيح  اذا تم وضع ضريبة بين الارقام الاتية وذلك بسبب الخصم الضريبى على الشرائح</t>
  </si>
  <si>
    <t>معادلة صافى الربح لن تعمل بشكل صحيح اذا تم وضع ارقام بين الارقام الاتية وذلك بسبب الخصم الضريبى على الشرائح</t>
  </si>
  <si>
    <t>اخر ميعاد لتسليم الاقرار</t>
  </si>
  <si>
    <t>بما يزيد عن 200</t>
  </si>
  <si>
    <t>تاريخ بداية احتساب مقابل التاخير</t>
  </si>
  <si>
    <t>السنة</t>
  </si>
  <si>
    <t>عدد الشهور</t>
  </si>
  <si>
    <t>قيمة مقابل التاخير</t>
  </si>
  <si>
    <t>اجمالى قيمة مقابل التاخير</t>
  </si>
  <si>
    <t>اجمالى الفروق+ مقابل التاخير</t>
  </si>
  <si>
    <t>فروق الفحص لعام 2005</t>
  </si>
  <si>
    <t>فروق الفحص المقصودة هنا هى الفروق واجبة السداد اى بعد خصم كل التسديدات على تنوعها سواء مسددة مع الاقرار او المبالغ المخصومة تحت حساب الضريبة او ....او</t>
  </si>
  <si>
    <t>حتى 600000</t>
  </si>
  <si>
    <t>اكبر من 600000 حتى 700000</t>
  </si>
  <si>
    <t>اكبر من 800000 حتى 900000</t>
  </si>
  <si>
    <t>اكبر من 700000 حتى 800000</t>
  </si>
  <si>
    <t>اكبر من 900000 حتى 1000000</t>
  </si>
  <si>
    <t>ضع صافى الربح فى الخلية B1</t>
  </si>
  <si>
    <t>اكبر من 1000000</t>
  </si>
  <si>
    <t>ستظهر الضريبة فى الخلية B2</t>
  </si>
  <si>
    <t>سعر الضريبة</t>
  </si>
  <si>
    <t>صافى الدخل الذى لم يتجاوز 600,000</t>
  </si>
  <si>
    <t>صافى الدخل الذى  تجاوز 600,000 ولم يتجاوز 700,000</t>
  </si>
  <si>
    <t>صافى الدخل الذى  تجاوز 700,000 ولم يتجاوز 800,000</t>
  </si>
  <si>
    <t>صافى الدخل الذى  تجاوز 800,000 ولم يتجاوز 900,000</t>
  </si>
  <si>
    <t>صافى الدخل الذى  تجاوز 900,000 ولم يتجاوز 1,000,000</t>
  </si>
  <si>
    <t>صافى الدخل الذى  تجاوز  1,000,000</t>
  </si>
  <si>
    <t>من 1 جنية الى 15,000 جنيه</t>
  </si>
  <si>
    <t>اكثر من 15,000 جنية الى 30,000 جنيه</t>
  </si>
  <si>
    <t>اكثر من 30,000 جنية الى 45,000 جنيه</t>
  </si>
  <si>
    <t>اكثر من 45,000 جنية الى 60,000 جنيه</t>
  </si>
  <si>
    <t>اكثر من 60,000 جنية الى 200,000 جنيه</t>
  </si>
  <si>
    <t>اكثر من 200,000 جنية الى 400,000 جنيه</t>
  </si>
  <si>
    <t xml:space="preserve">ما زاد على 400,000 جنية </t>
  </si>
  <si>
    <t>من 1 جنية الى 400,000 جنيه</t>
  </si>
  <si>
    <t>من 1 جنية الى 200,000 جنيه</t>
  </si>
  <si>
    <t>من 1 جنية الى 60,000 جنيه</t>
  </si>
  <si>
    <t>من 1 جنية الى 45,000 جنيه</t>
  </si>
  <si>
    <t>من 1 جنية الى 30,000 جنيه</t>
  </si>
  <si>
    <r>
      <t xml:space="preserve">الشيت محمى ولا يمكن تغيير او تعديل اى خلية الا الخلية
 </t>
    </r>
    <r>
      <rPr>
        <b/>
        <u/>
        <sz val="24"/>
        <color theme="9" tint="-0.249977111117893"/>
        <rFont val="Calibri"/>
        <family val="2"/>
        <scheme val="minor"/>
      </rPr>
      <t>B1</t>
    </r>
    <r>
      <rPr>
        <b/>
        <u/>
        <sz val="18"/>
        <color theme="1"/>
        <rFont val="Calibri"/>
        <family val="2"/>
        <scheme val="minor"/>
      </rPr>
      <t xml:space="preserve"> وهى الخلية  الخاصة بصافى الربح فقط
جميع المعادلات مفتوحة وظاهرة ويمكن رؤيتها بسهولة فى المدى </t>
    </r>
    <r>
      <rPr>
        <b/>
        <u/>
        <sz val="24"/>
        <color theme="1"/>
        <rFont val="Calibri"/>
        <family val="2"/>
        <scheme val="minor"/>
      </rPr>
      <t>A5:C10</t>
    </r>
  </si>
  <si>
    <t>نسألكم الدعاء بالشفاء العاجل</t>
  </si>
  <si>
    <t>الشركات 22.5 % كما هى حيث لم يتم تعديل المادة 48</t>
  </si>
  <si>
    <t>∞</t>
  </si>
  <si>
    <t>الفانون</t>
  </si>
  <si>
    <t xml:space="preserve"> 26 لسنة 2020</t>
  </si>
  <si>
    <t xml:space="preserve"> 97 لسنة 2018</t>
  </si>
  <si>
    <t xml:space="preserve"> 91 لسنة 2005</t>
  </si>
  <si>
    <t xml:space="preserve"> 11 لسنة 2013</t>
  </si>
  <si>
    <t xml:space="preserve"> 96 لسنة 2015</t>
  </si>
  <si>
    <t xml:space="preserve"> 82 لسنة 2017</t>
  </si>
  <si>
    <t>نفس المعادلة</t>
  </si>
  <si>
    <t>شهرى قبل</t>
  </si>
  <si>
    <t>سنوى قبل</t>
  </si>
  <si>
    <t>قانون 26 لسنة 2020</t>
  </si>
  <si>
    <t>الاعفاء الشخصى السنوى</t>
  </si>
  <si>
    <t>الاعفاء الشخصى الشهرى</t>
  </si>
  <si>
    <t>مج</t>
  </si>
  <si>
    <t>اعداد المحاسب القانونى 
ومراقب حسابات الشركات المساهمة
محمد كامل احمد 
012/28247128</t>
  </si>
  <si>
    <t>اعداد المحاسب القانونى ومراقب حسابات الشركات المساهمة
محمد كامل احمد 
012/28247128</t>
  </si>
  <si>
    <r>
      <t>نسبة مقابل التاخير</t>
    </r>
    <r>
      <rPr>
        <b/>
        <u/>
        <sz val="18"/>
        <color rgb="FF7030A0"/>
        <rFont val="Calibri"/>
        <family val="2"/>
        <scheme val="minor"/>
      </rPr>
      <t>+ ال 2%</t>
    </r>
  </si>
  <si>
    <t>يراعى عند اعداد تسويات كسب العمل السنوية الكتب الدورية الصادرة وبالاخص منذ بداية سنة 2017 اى منذ بداية تطبيق نظام الخصم الضريبى حسب الشريحة</t>
  </si>
  <si>
    <t>لا يجبر كسر الشهر ولا كسر الجنيه</t>
  </si>
  <si>
    <t>كتاب دورى رقم 1 لسنة 2023</t>
  </si>
  <si>
    <t xml:space="preserve"> 30 لسنة 2023</t>
  </si>
  <si>
    <t>من 1 جنية الى 21,000 جنيه</t>
  </si>
  <si>
    <t>صافى الدخل الذى  تجاوز 900,000 ولم يتجاوز 1,200,000</t>
  </si>
  <si>
    <t>اكثر من 21,000 جنية الى 30,000 جنيه</t>
  </si>
  <si>
    <t xml:space="preserve">ما زاد على  1,200,000 جنية </t>
  </si>
  <si>
    <t>صافى الدخل الذى  تجاوز  1,200,000</t>
  </si>
  <si>
    <t>اكبر من 900000 حتى 1200000</t>
  </si>
  <si>
    <t>اكبر من 1200000</t>
  </si>
  <si>
    <t>النسبة</t>
  </si>
  <si>
    <t xml:space="preserve">نهاية الشريحة مضروب في نسبة الضرييبة </t>
  </si>
  <si>
    <t xml:space="preserve">الفرق بين نهاية الشرائح </t>
  </si>
  <si>
    <t>الفرق بين نسب الشرائح</t>
  </si>
  <si>
    <t>يطرح</t>
  </si>
  <si>
    <t>من 1 جنية الى  1,200,000 جنيه</t>
  </si>
  <si>
    <t>https://www.facebook.com/groups/422412972327437</t>
  </si>
  <si>
    <t xml:space="preserve">وده لينك الجروب الخاص   / جروب المحاسب القانونى المعاصر 
لمتابعة كل ما هو جديد بعلوم المال والضرائب المصرية </t>
  </si>
  <si>
    <t>دخل</t>
  </si>
  <si>
    <t>كسب عمل سنوي</t>
  </si>
  <si>
    <t xml:space="preserve">تم الاحتساب لمنشاة فردية
اما الشركات الاعتبارية فأخر ميعاد لتقديم الاقرار 30/4/2006
وعليه يبدا احتساب مقابل التاخير من  1/5/2006 </t>
  </si>
  <si>
    <t>معادلة تحقق</t>
  </si>
  <si>
    <t>هذه هى المعادلات التى يتم وضعها بتسوية كسب العمل السنوية قبل التسويات الالكترونية</t>
  </si>
  <si>
    <t>ضع صافى الربح فى الخلية B2</t>
  </si>
  <si>
    <t>ستظهر الضريبة فى الخلية B3</t>
  </si>
  <si>
    <t xml:space="preserve"> من1  جنية الى 45,000 جنيه</t>
  </si>
  <si>
    <t xml:space="preserve"> من 1 جنية الى 60,000 جنيه</t>
  </si>
  <si>
    <t xml:space="preserve"> من 1 جنية الى 200,000 جنيه</t>
  </si>
  <si>
    <t xml:space="preserve"> من 1 جنية الى 400,000 جنيه</t>
  </si>
  <si>
    <t xml:space="preserve"> 175 لسنة 2023</t>
  </si>
  <si>
    <t>الضريبة على صافى ربح الافراد بعد تعديل المادة 8 بالقانون 175 لسنة 2023</t>
  </si>
  <si>
    <r>
      <t xml:space="preserve">انظر الى الكومنت فى الخلية G3 و </t>
    </r>
    <r>
      <rPr>
        <b/>
        <u/>
        <sz val="18"/>
        <color rgb="FFFF0000"/>
        <rFont val="Calibri"/>
        <family val="2"/>
        <scheme val="minor"/>
      </rPr>
      <t>E3</t>
    </r>
    <r>
      <rPr>
        <b/>
        <u/>
        <sz val="18"/>
        <color rgb="FF7030A0"/>
        <rFont val="Calibri"/>
        <family val="2"/>
        <scheme val="minor"/>
      </rPr>
      <t xml:space="preserve"> هام جدا</t>
    </r>
  </si>
  <si>
    <t>تم احتساب مقابل التاخير حتى اكتوبر 2023</t>
  </si>
  <si>
    <t>الضريبة على صافى ربح الافراد بعد تعديل المادة 8 بالقانون 30 لسنة 2023</t>
  </si>
  <si>
    <t>الضريبة طبقا (للمادة الثالثة قانون 30 لسنة 2023)</t>
  </si>
  <si>
    <t>تامينات عام 2024</t>
  </si>
  <si>
    <t>مراقب حسابات الشركات المساهمة
  محمد كامل احمد</t>
  </si>
  <si>
    <t>الحد الادنى طبقا لقانون التامينات 148 لسنة 2019 هو 
2000 ج</t>
  </si>
  <si>
    <t>الحد الادنى طبقا لقرار وزير التخطيط رقم  90 لسنة 2023 هو 
2700 ج</t>
  </si>
  <si>
    <t>الاجر التامينى</t>
  </si>
  <si>
    <t xml:space="preserve">
بدلات معفاه من التامينات 
30% </t>
  </si>
  <si>
    <t xml:space="preserve">الاجر الشامل </t>
  </si>
  <si>
    <t>حصة العامل ف التامينات  11%</t>
  </si>
  <si>
    <t>صافى الوعاء</t>
  </si>
  <si>
    <t>الضريبة الشهرية قانون 175 لسنة 2023</t>
  </si>
  <si>
    <t>الحد الاقصى طبقا لقانون التامينات 148 لسنة 2019 هو 
12600 ج</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</si>
</sst>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_-* #,##0.00_-;\-* #,##0.00_-;_-* &quot;-&quot;??_-;_-@_-"/>
    <numFmt numFmtId="165" formatCode="[$-2010000]yyyy/mm/dd;@"/>
    <numFmt numFmtId="166" formatCode="0;[Red]0"/>
    <numFmt numFmtId="167" formatCode="[$-1010000]yyyy/mm/dd;@"/>
    <numFmt numFmtId="168" formatCode="0.000%"/>
    <numFmt numFmtId="169" formatCode="0.0"/>
    <numFmt numFmtId="170" formatCode="_-* #,##0.000_-;\-* #,##0.000_-;_-* &quot;-&quot;??_-;_-@_-"/>
    <numFmt numFmtId="171" formatCode="0.0%"/>
    <numFmt numFmtId="172" formatCode="_-* #,##0.0000_-;\-* #,##0.0000_-;_-* &quot;-&quot;??_-;_-@_-"/>
  </numFmts>
  <fonts count="50">
    <font>
      <sz val="11"/>
      <color theme="1"/>
      <name val="Calibri"/>
      <family val="2"/>
      <scheme val="minor"/>
    </font>
    <font>
      <sz val="16"/>
      <color theme="1"/>
      <name val="Calibri"/>
      <family val="2"/>
      <scheme val="minor"/>
    </font>
    <font>
      <b/>
      <sz val="12"/>
      <color theme="1"/>
      <name val="Arabic Transparent"/>
      <charset val="178"/>
    </font>
    <font>
      <b/>
      <sz val="14"/>
      <color theme="1"/>
      <name val="Calibri"/>
      <family val="2"/>
      <scheme val="minor"/>
    </font>
    <font>
      <b/>
      <sz val="11"/>
      <color rgb="FF7030A0"/>
      <name val="Calibri"/>
      <family val="2"/>
      <scheme val="minor"/>
    </font>
    <font>
      <b/>
      <sz val="11"/>
      <color theme="1"/>
      <name val="Calibri"/>
      <family val="2"/>
      <scheme val="minor"/>
    </font>
    <font>
      <b/>
      <sz val="12"/>
      <color theme="9" tint="0.79998168889431442"/>
      <name val="Arial"/>
      <family val="2"/>
    </font>
    <font>
      <b/>
      <sz val="12"/>
      <color indexed="8"/>
      <name val="Arial"/>
      <family val="2"/>
    </font>
    <font>
      <b/>
      <sz val="8"/>
      <color indexed="81"/>
      <name val="Tahoma"/>
      <family val="2"/>
    </font>
    <font>
      <sz val="8"/>
      <color indexed="81"/>
      <name val="Tahoma"/>
      <family val="2"/>
    </font>
    <font>
      <sz val="10"/>
      <color indexed="81"/>
      <name val="Tahoma"/>
      <family val="2"/>
    </font>
    <font>
      <sz val="11"/>
      <color theme="1"/>
      <name val="Calibri"/>
      <family val="2"/>
      <scheme val="minor"/>
    </font>
    <font>
      <b/>
      <sz val="12"/>
      <color rgb="FFFF0000"/>
      <name val="Calibri"/>
      <family val="2"/>
      <scheme val="minor"/>
    </font>
    <font>
      <b/>
      <sz val="12"/>
      <color theme="1"/>
      <name val="Calibri"/>
      <family val="2"/>
      <scheme val="minor"/>
    </font>
    <font>
      <b/>
      <u val="double"/>
      <sz val="20"/>
      <color theme="1"/>
      <name val="Calibri"/>
      <family val="2"/>
      <scheme val="minor"/>
    </font>
    <font>
      <b/>
      <i/>
      <u/>
      <sz val="12"/>
      <color theme="1"/>
      <name val="Calibri"/>
      <family val="2"/>
      <scheme val="minor"/>
    </font>
    <font>
      <b/>
      <u/>
      <sz val="12"/>
      <color rgb="FFFF0000"/>
      <name val="Calibri"/>
      <family val="2"/>
      <scheme val="minor"/>
    </font>
    <font>
      <b/>
      <u/>
      <sz val="12"/>
      <color theme="1"/>
      <name val="Calibri"/>
      <family val="2"/>
      <scheme val="minor"/>
    </font>
    <font>
      <b/>
      <sz val="10"/>
      <color theme="1"/>
      <name val="Calibri"/>
      <family val="2"/>
      <scheme val="minor"/>
    </font>
    <font>
      <b/>
      <sz val="9"/>
      <color indexed="81"/>
      <name val="Tahoma"/>
      <family val="2"/>
    </font>
    <font>
      <sz val="10"/>
      <name val="Arial"/>
      <family val="2"/>
    </font>
    <font>
      <b/>
      <sz val="18"/>
      <color theme="1"/>
      <name val="Calibri"/>
      <family val="2"/>
      <scheme val="minor"/>
    </font>
    <font>
      <b/>
      <sz val="20"/>
      <color theme="1"/>
      <name val="Calibri"/>
      <family val="2"/>
      <scheme val="minor"/>
    </font>
    <font>
      <b/>
      <sz val="8"/>
      <color theme="1"/>
      <name val="Calibri"/>
      <family val="2"/>
      <scheme val="minor"/>
    </font>
    <font>
      <b/>
      <u/>
      <sz val="18"/>
      <color theme="1"/>
      <name val="Calibri"/>
      <family val="2"/>
      <scheme val="minor"/>
    </font>
    <font>
      <b/>
      <u/>
      <sz val="24"/>
      <color theme="1"/>
      <name val="Calibri"/>
      <family val="2"/>
      <scheme val="minor"/>
    </font>
    <font>
      <b/>
      <u/>
      <sz val="24"/>
      <color theme="9" tint="-0.249977111117893"/>
      <name val="Calibri"/>
      <family val="2"/>
      <scheme val="minor"/>
    </font>
    <font>
      <b/>
      <i/>
      <sz val="24"/>
      <color rgb="FF7030A0"/>
      <name val="Calibri"/>
      <family val="2"/>
      <scheme val="minor"/>
    </font>
    <font>
      <b/>
      <sz val="12"/>
      <color theme="1"/>
      <name val="Arial"/>
      <family val="2"/>
    </font>
    <font>
      <b/>
      <sz val="24"/>
      <color theme="1"/>
      <name val="Calibri"/>
      <family val="2"/>
    </font>
    <font>
      <sz val="9"/>
      <color indexed="81"/>
      <name val="Tahoma"/>
      <family val="2"/>
    </font>
    <font>
      <b/>
      <sz val="20"/>
      <color rgb="FFFF0000"/>
      <name val="Calibri"/>
      <family val="2"/>
      <scheme val="minor"/>
    </font>
    <font>
      <b/>
      <sz val="14"/>
      <color indexed="81"/>
      <name val="Tahoma"/>
      <family val="2"/>
    </font>
    <font>
      <b/>
      <u/>
      <sz val="18"/>
      <color indexed="81"/>
      <name val="Tahoma"/>
      <family val="2"/>
    </font>
    <font>
      <b/>
      <sz val="22"/>
      <color theme="1"/>
      <name val="Calibri"/>
      <family val="2"/>
      <scheme val="minor"/>
    </font>
    <font>
      <b/>
      <sz val="12"/>
      <color indexed="81"/>
      <name val="Tahoma"/>
      <family val="2"/>
    </font>
    <font>
      <b/>
      <i/>
      <sz val="22"/>
      <color theme="1"/>
      <name val="Calibri"/>
      <family val="2"/>
      <scheme val="minor"/>
    </font>
    <font>
      <b/>
      <i/>
      <sz val="20"/>
      <color theme="1"/>
      <name val="Calibri"/>
      <family val="2"/>
      <scheme val="minor"/>
    </font>
    <font>
      <b/>
      <u/>
      <sz val="18"/>
      <color rgb="FF7030A0"/>
      <name val="Calibri"/>
      <family val="2"/>
      <scheme val="minor"/>
    </font>
    <font>
      <sz val="10"/>
      <color theme="1"/>
      <name val="Calibri"/>
      <family val="2"/>
      <scheme val="minor"/>
    </font>
    <font>
      <u/>
      <sz val="11"/>
      <color theme="10"/>
      <name val="Calibri"/>
      <family val="2"/>
      <scheme val="minor"/>
    </font>
    <font>
      <b/>
      <u/>
      <sz val="14"/>
      <color theme="10"/>
      <name val="Calibri"/>
      <family val="2"/>
      <scheme val="minor"/>
    </font>
    <font>
      <b/>
      <u/>
      <sz val="14"/>
      <color rgb="FFC00000"/>
      <name val="Calibri"/>
      <family val="2"/>
      <scheme val="minor"/>
    </font>
    <font>
      <b/>
      <sz val="11"/>
      <color indexed="81"/>
      <name val="Tahoma"/>
      <family val="2"/>
    </font>
    <font>
      <b/>
      <u/>
      <sz val="18"/>
      <color rgb="FFFF0000"/>
      <name val="Calibri"/>
      <family val="2"/>
      <scheme val="minor"/>
    </font>
    <font>
      <sz val="11"/>
      <color rgb="FF050505"/>
      <name val="Segoe UI Historic"/>
      <family val="2"/>
    </font>
    <font>
      <b/>
      <sz val="11"/>
      <color rgb="FF050505"/>
      <name val="Inherit"/>
    </font>
    <font>
      <b/>
      <sz val="16"/>
      <color theme="1"/>
      <name val="Calibri"/>
      <family val="2"/>
      <scheme val="minor"/>
    </font>
    <font>
      <b/>
      <sz val="16"/>
      <color theme="1"/>
      <name val="Arial"/>
      <family val="2"/>
    </font>
    <font>
      <b/>
      <sz val="14"/>
      <color rgb="FFFF0000"/>
      <name val="Calibri"/>
      <family val="2"/>
      <scheme val="minor"/>
    </font>
  </fonts>
  <fills count="29">
    <fill>
      <patternFill patternType="none"/>
    </fill>
    <fill>
      <patternFill patternType="gray125"/>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indexed="22"/>
        <bgColor indexed="64"/>
      </patternFill>
    </fill>
    <fill>
      <gradientFill>
        <stop position="0">
          <color theme="9" tint="0.40000610370189521"/>
        </stop>
        <stop position="1">
          <color theme="8"/>
        </stop>
      </gradientFill>
    </fill>
    <fill>
      <gradientFill type="path" left="0.5" right="0.5" top="0.5" bottom="0.5">
        <stop position="0">
          <color rgb="FF7030A0"/>
        </stop>
        <stop position="1">
          <color theme="7" tint="0.40000610370189521"/>
        </stop>
      </gradientFill>
    </fill>
    <fill>
      <patternFill patternType="solid">
        <fgColor indexed="10"/>
        <bgColor indexed="64"/>
      </patternFill>
    </fill>
    <fill>
      <gradientFill type="path" left="0.5" right="0.5" top="0.5" bottom="0.5">
        <stop position="0">
          <color rgb="FFFFFF00"/>
        </stop>
        <stop position="1">
          <color rgb="FFFF0000"/>
        </stop>
      </gradientFill>
    </fill>
    <fill>
      <patternFill patternType="solid">
        <fgColor theme="0" tint="-0.14999847407452621"/>
        <bgColor indexed="64"/>
      </patternFill>
    </fill>
    <fill>
      <gradientFill type="path" left="0.5" right="0.5" top="0.5" bottom="0.5">
        <stop position="0">
          <color theme="9"/>
        </stop>
        <stop position="1">
          <color theme="0"/>
        </stop>
      </gradientFill>
    </fill>
    <fill>
      <patternFill patternType="solid">
        <fgColor theme="0" tint="-0.249977111117893"/>
        <bgColor auto="1"/>
      </patternFill>
    </fill>
    <fill>
      <patternFill patternType="solid">
        <fgColor theme="9" tint="-0.249977111117893"/>
        <bgColor indexed="64"/>
      </patternFill>
    </fill>
    <fill>
      <gradientFill type="path" left="0.5" right="0.5" top="0.5" bottom="0.5">
        <stop position="0">
          <color theme="0"/>
        </stop>
        <stop position="1">
          <color theme="4"/>
        </stop>
      </gradientFill>
    </fill>
    <fill>
      <gradientFill type="path" left="0.5" right="0.5" top="0.5" bottom="0.5">
        <stop position="0">
          <color rgb="FFFFC000"/>
        </stop>
        <stop position="1">
          <color rgb="FF7030A0"/>
        </stop>
      </gradientFill>
    </fill>
    <fill>
      <patternFill patternType="solid">
        <fgColor theme="0" tint="-0.34998626667073579"/>
        <bgColor indexed="64"/>
      </patternFill>
    </fill>
    <fill>
      <patternFill patternType="solid">
        <fgColor indexed="26"/>
      </patternFill>
    </fill>
    <fill>
      <patternFill patternType="solid">
        <fgColor rgb="FF92D050"/>
        <bgColor indexed="64"/>
      </patternFill>
    </fill>
    <fill>
      <patternFill patternType="solid">
        <fgColor rgb="FF00B050"/>
        <bgColor indexed="64"/>
      </patternFill>
    </fill>
    <fill>
      <gradientFill type="path" left="0.5" right="0.5" top="0.5" bottom="0.5">
        <stop position="0">
          <color theme="0"/>
        </stop>
        <stop position="1">
          <color rgb="FF00B050"/>
        </stop>
      </gradientFill>
    </fill>
    <fill>
      <patternFill patternType="solid">
        <fgColor theme="8" tint="0.59999389629810485"/>
        <bgColor indexed="64"/>
      </patternFill>
    </fill>
    <fill>
      <patternFill patternType="solid">
        <fgColor theme="3" tint="0.39994506668294322"/>
        <bgColor auto="1"/>
      </patternFill>
    </fill>
    <fill>
      <patternFill patternType="solid">
        <fgColor theme="3" tint="0.39997558519241921"/>
        <bgColor auto="1"/>
      </patternFill>
    </fill>
    <fill>
      <patternFill patternType="solid">
        <fgColor theme="8" tint="0.39997558519241921"/>
        <bgColor indexed="64"/>
      </patternFill>
    </fill>
    <fill>
      <patternFill patternType="solid">
        <fgColor theme="6" tint="0.59999389629810485"/>
        <bgColor indexed="64"/>
      </patternFill>
    </fill>
    <fill>
      <patternFill patternType="solid">
        <fgColor rgb="FFFF0000"/>
        <bgColor indexed="64"/>
      </patternFill>
    </fill>
    <fill>
      <patternFill patternType="solid">
        <fgColor theme="7" tint="0.59999389629810485"/>
        <bgColor indexed="64"/>
      </patternFill>
    </fill>
    <fill>
      <patternFill patternType="solid">
        <fgColor rgb="FFFFC000"/>
        <bgColor indexed="64"/>
      </patternFill>
    </fill>
  </fills>
  <borders count="80">
    <border>
      <left/>
      <right/>
      <top/>
      <bottom/>
      <diagonal/>
    </border>
    <border>
      <left style="thick">
        <color auto="1"/>
      </left>
      <right style="thick">
        <color auto="1"/>
      </right>
      <top style="thick">
        <color auto="1"/>
      </top>
      <bottom style="thick">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style="double">
        <color auto="1"/>
      </right>
      <top style="double">
        <color auto="1"/>
      </top>
      <bottom/>
      <diagonal/>
    </border>
    <border>
      <left style="double">
        <color auto="1"/>
      </left>
      <right style="thin">
        <color auto="1"/>
      </right>
      <top/>
      <bottom style="thick">
        <color auto="1"/>
      </bottom>
      <diagonal/>
    </border>
    <border>
      <left style="thin">
        <color auto="1"/>
      </left>
      <right style="thin">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double">
        <color auto="1"/>
      </right>
      <top/>
      <bottom style="thick">
        <color auto="1"/>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right/>
      <top/>
      <bottom style="double">
        <color auto="1"/>
      </bottom>
      <diagonal/>
    </border>
    <border>
      <left style="thick">
        <color indexed="64"/>
      </left>
      <right style="thick">
        <color indexed="64"/>
      </right>
      <top style="thick">
        <color indexed="64"/>
      </top>
      <bottom/>
      <diagonal/>
    </border>
    <border>
      <left style="thick">
        <color indexed="10"/>
      </left>
      <right style="thick">
        <color indexed="10"/>
      </right>
      <top style="thick">
        <color indexed="10"/>
      </top>
      <bottom style="thick">
        <color indexed="10"/>
      </bottom>
      <diagonal/>
    </border>
    <border>
      <left style="thick">
        <color indexed="64"/>
      </left>
      <right style="thick">
        <color indexed="64"/>
      </right>
      <top/>
      <bottom style="thick">
        <color indexed="64"/>
      </bottom>
      <diagonal/>
    </border>
    <border>
      <left/>
      <right style="thick">
        <color indexed="64"/>
      </right>
      <top style="thick">
        <color indexed="64"/>
      </top>
      <bottom style="thick">
        <color indexed="64"/>
      </bottom>
      <diagonal/>
    </border>
    <border>
      <left style="thick">
        <color indexed="10"/>
      </left>
      <right style="thick">
        <color indexed="10"/>
      </right>
      <top style="thick">
        <color indexed="10"/>
      </top>
      <bottom style="thick">
        <color indexed="10"/>
      </bottom>
      <diagonal/>
    </border>
    <border>
      <left style="thick">
        <color indexed="64"/>
      </left>
      <right style="thick">
        <color indexed="64"/>
      </right>
      <top style="thick">
        <color indexed="64"/>
      </top>
      <bottom/>
      <diagonal/>
    </border>
    <border>
      <left style="thick">
        <color rgb="FF00B050"/>
      </left>
      <right style="thick">
        <color rgb="FF00B050"/>
      </right>
      <top style="thick">
        <color rgb="FF00B050"/>
      </top>
      <bottom style="thick">
        <color rgb="FF00B050"/>
      </bottom>
      <diagonal/>
    </border>
    <border>
      <left style="thick">
        <color indexed="10"/>
      </left>
      <right/>
      <top style="thick">
        <color indexed="10"/>
      </top>
      <bottom style="thick">
        <color indexed="10"/>
      </bottom>
      <diagonal/>
    </border>
    <border>
      <left/>
      <right style="thick">
        <color indexed="10"/>
      </right>
      <top style="thick">
        <color indexed="10"/>
      </top>
      <bottom style="thick">
        <color indexed="10"/>
      </bottom>
      <diagonal/>
    </border>
    <border>
      <left style="thick">
        <color indexed="64"/>
      </left>
      <right style="thick">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auto="1"/>
      </left>
      <right style="thick">
        <color auto="1"/>
      </right>
      <top style="thick">
        <color auto="1"/>
      </top>
      <bottom style="thick">
        <color auto="1"/>
      </bottom>
      <diagonal/>
    </border>
    <border>
      <left style="thick">
        <color indexed="64"/>
      </left>
      <right style="thick">
        <color indexed="64"/>
      </right>
      <top style="thick">
        <color indexed="64"/>
      </top>
      <bottom/>
      <diagonal/>
    </border>
    <border>
      <left style="thick">
        <color indexed="10"/>
      </left>
      <right style="thick">
        <color indexed="10"/>
      </right>
      <top style="thick">
        <color indexed="10"/>
      </top>
      <bottom style="thick">
        <color indexed="10"/>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rgb="FFFF0000"/>
      </bottom>
      <diagonal/>
    </border>
    <border>
      <left style="thick">
        <color indexed="64"/>
      </left>
      <right style="thick">
        <color indexed="64"/>
      </right>
      <top/>
      <bottom/>
      <diagonal/>
    </border>
    <border>
      <left style="thick">
        <color indexed="64"/>
      </left>
      <right style="thick">
        <color indexed="64"/>
      </right>
      <top style="thick">
        <color rgb="FFFF0000"/>
      </top>
      <bottom/>
      <diagonal/>
    </border>
    <border>
      <left style="thick">
        <color indexed="10"/>
      </left>
      <right/>
      <top style="thick">
        <color indexed="10"/>
      </top>
      <bottom style="thick">
        <color indexed="10"/>
      </bottom>
      <diagonal/>
    </border>
    <border>
      <left/>
      <right style="thick">
        <color indexed="10"/>
      </right>
      <top style="thick">
        <color indexed="10"/>
      </top>
      <bottom style="thick">
        <color indexed="10"/>
      </bottom>
      <diagonal/>
    </border>
    <border>
      <left style="thick">
        <color indexed="64"/>
      </left>
      <right style="thick">
        <color indexed="64"/>
      </right>
      <top/>
      <bottom style="thick">
        <color rgb="FFFF0000"/>
      </bottom>
      <diagonal/>
    </border>
    <border>
      <left/>
      <right/>
      <top/>
      <bottom style="thick">
        <color auto="1"/>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double">
        <color auto="1"/>
      </left>
      <right style="double">
        <color auto="1"/>
      </right>
      <top style="double">
        <color auto="1"/>
      </top>
      <bottom style="double">
        <color auto="1"/>
      </bottom>
      <diagonal/>
    </border>
    <border>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double">
        <color auto="1"/>
      </right>
      <top style="double">
        <color auto="1"/>
      </top>
      <bottom style="double">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rgb="FF002060"/>
      </left>
      <right/>
      <top style="double">
        <color rgb="FF002060"/>
      </top>
      <bottom/>
      <diagonal/>
    </border>
    <border>
      <left/>
      <right/>
      <top style="double">
        <color rgb="FF002060"/>
      </top>
      <bottom/>
      <diagonal/>
    </border>
    <border>
      <left/>
      <right style="double">
        <color rgb="FF002060"/>
      </right>
      <top style="double">
        <color rgb="FF002060"/>
      </top>
      <bottom/>
      <diagonal/>
    </border>
    <border>
      <left style="double">
        <color rgb="FF002060"/>
      </left>
      <right/>
      <top/>
      <bottom/>
      <diagonal/>
    </border>
    <border>
      <left/>
      <right style="double">
        <color rgb="FF002060"/>
      </right>
      <top/>
      <bottom/>
      <diagonal/>
    </border>
    <border>
      <left style="double">
        <color rgb="FF002060"/>
      </left>
      <right style="thick">
        <color auto="1"/>
      </right>
      <top style="thick">
        <color auto="1"/>
      </top>
      <bottom style="thick">
        <color auto="1"/>
      </bottom>
      <diagonal/>
    </border>
    <border>
      <left style="double">
        <color rgb="FF002060"/>
      </left>
      <right/>
      <top/>
      <bottom style="double">
        <color rgb="FF002060"/>
      </bottom>
      <diagonal/>
    </border>
    <border>
      <left/>
      <right/>
      <top/>
      <bottom style="double">
        <color rgb="FF002060"/>
      </bottom>
      <diagonal/>
    </border>
    <border>
      <left/>
      <right style="double">
        <color rgb="FF002060"/>
      </right>
      <top/>
      <bottom style="double">
        <color rgb="FF002060"/>
      </bottom>
      <diagonal/>
    </border>
    <border>
      <left style="double">
        <color rgb="FF7030A0"/>
      </left>
      <right/>
      <top style="double">
        <color rgb="FF7030A0"/>
      </top>
      <bottom/>
      <diagonal/>
    </border>
    <border>
      <left/>
      <right/>
      <top style="double">
        <color rgb="FF7030A0"/>
      </top>
      <bottom/>
      <diagonal/>
    </border>
    <border>
      <left/>
      <right style="double">
        <color rgb="FF7030A0"/>
      </right>
      <top style="double">
        <color rgb="FF7030A0"/>
      </top>
      <bottom/>
      <diagonal/>
    </border>
    <border>
      <left style="double">
        <color rgb="FF7030A0"/>
      </left>
      <right/>
      <top/>
      <bottom/>
      <diagonal/>
    </border>
    <border>
      <left/>
      <right style="double">
        <color rgb="FF7030A0"/>
      </right>
      <top/>
      <bottom/>
      <diagonal/>
    </border>
    <border>
      <left style="double">
        <color rgb="FF7030A0"/>
      </left>
      <right/>
      <top/>
      <bottom style="double">
        <color rgb="FF7030A0"/>
      </bottom>
      <diagonal/>
    </border>
    <border>
      <left/>
      <right/>
      <top/>
      <bottom style="double">
        <color rgb="FF7030A0"/>
      </bottom>
      <diagonal/>
    </border>
    <border>
      <left/>
      <right style="double">
        <color rgb="FF7030A0"/>
      </right>
      <top/>
      <bottom style="double">
        <color rgb="FF7030A0"/>
      </bottom>
      <diagonal/>
    </border>
    <border>
      <left style="thick">
        <color auto="1"/>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double">
        <color auto="1"/>
      </left>
      <right/>
      <top/>
      <bottom style="double">
        <color auto="1"/>
      </bottom>
      <diagonal/>
    </border>
    <border>
      <left/>
      <right style="double">
        <color auto="1"/>
      </right>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s>
  <cellStyleXfs count="5">
    <xf numFmtId="0" fontId="0" fillId="0" borderId="0"/>
    <xf numFmtId="164" fontId="11" fillId="0" borderId="0" applyFont="0" applyFill="0" applyBorder="0" applyAlignment="0" applyProtection="0"/>
    <xf numFmtId="0" fontId="20" fillId="17" borderId="0" applyNumberFormat="0" applyFont="0" applyBorder="0" applyAlignment="0" applyProtection="0"/>
    <xf numFmtId="9" fontId="11" fillId="0" borderId="0" applyFont="0" applyFill="0" applyBorder="0" applyAlignment="0" applyProtection="0"/>
    <xf numFmtId="0" fontId="40" fillId="0" borderId="0" applyNumberFormat="0" applyFill="0" applyBorder="0" applyAlignment="0" applyProtection="0"/>
  </cellStyleXfs>
  <cellXfs count="261">
    <xf numFmtId="0" fontId="0" fillId="0" borderId="0" xfId="0"/>
    <xf numFmtId="2" fontId="1" fillId="2" borderId="1" xfId="0" applyNumberFormat="1" applyFont="1" applyFill="1" applyBorder="1" applyAlignment="1">
      <alignment horizontal="center" vertical="center" readingOrder="2"/>
    </xf>
    <xf numFmtId="0" fontId="2" fillId="2" borderId="9" xfId="0" applyFont="1" applyFill="1" applyBorder="1" applyAlignment="1">
      <alignment horizontal="center" vertical="center" wrapText="1" readingOrder="2"/>
    </xf>
    <xf numFmtId="0" fontId="2" fillId="0" borderId="11" xfId="0" applyFont="1" applyBorder="1" applyAlignment="1">
      <alignment horizontal="center" vertical="center" readingOrder="2"/>
    </xf>
    <xf numFmtId="0" fontId="2" fillId="0" borderId="12" xfId="0" applyFont="1" applyBorder="1" applyAlignment="1">
      <alignment horizontal="center" vertical="center" readingOrder="2"/>
    </xf>
    <xf numFmtId="165" fontId="2" fillId="0" borderId="12" xfId="0" applyNumberFormat="1" applyFont="1" applyBorder="1" applyAlignment="1">
      <alignment horizontal="center" vertical="center" readingOrder="2"/>
    </xf>
    <xf numFmtId="166" fontId="2" fillId="0" borderId="12" xfId="0" applyNumberFormat="1" applyFont="1" applyBorder="1" applyAlignment="1">
      <alignment horizontal="center" vertical="center" readingOrder="2"/>
    </xf>
    <xf numFmtId="0" fontId="2" fillId="0" borderId="13" xfId="0" applyFont="1" applyBorder="1" applyAlignment="1">
      <alignment horizontal="center" vertical="center" readingOrder="2"/>
    </xf>
    <xf numFmtId="0" fontId="2" fillId="0" borderId="14" xfId="0" applyFont="1" applyBorder="1" applyAlignment="1">
      <alignment horizontal="center" vertical="center" readingOrder="2"/>
    </xf>
    <xf numFmtId="166" fontId="2" fillId="0" borderId="14" xfId="0" applyNumberFormat="1" applyFont="1" applyBorder="1" applyAlignment="1">
      <alignment horizontal="center" vertical="center" readingOrder="2"/>
    </xf>
    <xf numFmtId="0" fontId="2" fillId="0" borderId="15" xfId="0" applyFont="1" applyBorder="1" applyAlignment="1">
      <alignment horizontal="center" vertical="center" readingOrder="2"/>
    </xf>
    <xf numFmtId="0" fontId="4" fillId="3" borderId="0" xfId="0" applyFont="1" applyFill="1"/>
    <xf numFmtId="0" fontId="0" fillId="0" borderId="0" xfId="0" applyAlignment="1">
      <alignment wrapText="1"/>
    </xf>
    <xf numFmtId="166" fontId="2" fillId="0" borderId="12" xfId="0" applyNumberFormat="1" applyFont="1" applyBorder="1" applyAlignment="1">
      <alignment horizontal="center" vertical="center" wrapText="1" readingOrder="2"/>
    </xf>
    <xf numFmtId="0" fontId="7" fillId="0" borderId="21" xfId="0" applyFont="1" applyBorder="1" applyAlignment="1">
      <alignment horizontal="center" vertical="center"/>
    </xf>
    <xf numFmtId="0" fontId="7" fillId="9" borderId="21" xfId="0" applyFont="1" applyFill="1" applyBorder="1" applyAlignment="1">
      <alignment horizontal="center" vertical="center"/>
    </xf>
    <xf numFmtId="0" fontId="7" fillId="0" borderId="21" xfId="0" applyFont="1" applyBorder="1" applyAlignment="1">
      <alignment horizontal="right" vertical="center"/>
    </xf>
    <xf numFmtId="0" fontId="7" fillId="0" borderId="21" xfId="0" quotePrefix="1" applyFont="1" applyBorder="1" applyAlignment="1">
      <alignment horizontal="center" vertical="center"/>
    </xf>
    <xf numFmtId="0" fontId="7" fillId="0" borderId="18" xfId="0" applyFont="1" applyBorder="1" applyAlignment="1">
      <alignment horizontal="center" vertical="center"/>
    </xf>
    <xf numFmtId="0" fontId="7" fillId="9" borderId="18" xfId="0" applyFont="1" applyFill="1" applyBorder="1" applyAlignment="1">
      <alignment horizontal="center" vertical="center"/>
    </xf>
    <xf numFmtId="49" fontId="7" fillId="0" borderId="18" xfId="0" applyNumberFormat="1" applyFont="1" applyBorder="1" applyAlignment="1">
      <alignment horizontal="right" vertical="center"/>
    </xf>
    <xf numFmtId="0" fontId="7" fillId="0" borderId="18" xfId="0" quotePrefix="1" applyFont="1" applyBorder="1" applyAlignment="1">
      <alignment horizontal="center" vertical="center"/>
    </xf>
    <xf numFmtId="0" fontId="7" fillId="0" borderId="18" xfId="0" applyFont="1" applyBorder="1" applyAlignment="1">
      <alignment horizontal="right" vertical="center"/>
    </xf>
    <xf numFmtId="0" fontId="7" fillId="0" borderId="30" xfId="0" applyFont="1" applyBorder="1" applyAlignment="1">
      <alignment horizontal="center" vertical="center"/>
    </xf>
    <xf numFmtId="0" fontId="7" fillId="9" borderId="30" xfId="0" applyFont="1" applyFill="1" applyBorder="1" applyAlignment="1">
      <alignment horizontal="center" vertical="center"/>
    </xf>
    <xf numFmtId="49" fontId="7" fillId="0" borderId="30" xfId="0" applyNumberFormat="1" applyFont="1" applyBorder="1" applyAlignment="1">
      <alignment horizontal="right" vertical="center"/>
    </xf>
    <xf numFmtId="0" fontId="7" fillId="0" borderId="30" xfId="0" quotePrefix="1" applyFont="1" applyBorder="1" applyAlignment="1">
      <alignment horizontal="center" vertical="center"/>
    </xf>
    <xf numFmtId="0" fontId="13" fillId="0" borderId="0" xfId="0" applyFont="1" applyAlignment="1">
      <alignment horizontal="center" vertical="center"/>
    </xf>
    <xf numFmtId="0" fontId="13" fillId="0" borderId="28" xfId="0" applyFont="1" applyBorder="1" applyAlignment="1">
      <alignment horizontal="center" vertical="center" readingOrder="2"/>
    </xf>
    <xf numFmtId="0" fontId="13" fillId="4" borderId="28" xfId="0" applyFont="1" applyFill="1" applyBorder="1" applyAlignment="1">
      <alignment horizontal="center" vertical="center" wrapText="1" readingOrder="2"/>
    </xf>
    <xf numFmtId="167" fontId="13" fillId="0" borderId="28" xfId="0" applyNumberFormat="1" applyFont="1" applyBorder="1" applyAlignment="1">
      <alignment horizontal="center" vertical="center" readingOrder="2"/>
    </xf>
    <xf numFmtId="2" fontId="13" fillId="0" borderId="28" xfId="0" applyNumberFormat="1" applyFont="1" applyBorder="1" applyAlignment="1">
      <alignment horizontal="center" vertical="center" readingOrder="2"/>
    </xf>
    <xf numFmtId="167" fontId="13" fillId="4" borderId="28" xfId="0" applyNumberFormat="1" applyFont="1" applyFill="1" applyBorder="1" applyAlignment="1">
      <alignment horizontal="center" vertical="center" readingOrder="2"/>
    </xf>
    <xf numFmtId="0" fontId="13" fillId="0" borderId="0" xfId="0" applyFont="1" applyAlignment="1">
      <alignment horizontal="center" vertical="center" readingOrder="2"/>
    </xf>
    <xf numFmtId="0" fontId="13" fillId="0" borderId="28" xfId="0" applyFont="1" applyBorder="1" applyAlignment="1">
      <alignment horizontal="center" vertical="center" wrapText="1" readingOrder="2"/>
    </xf>
    <xf numFmtId="14" fontId="13" fillId="0" borderId="28" xfId="0" applyNumberFormat="1" applyFont="1" applyBorder="1" applyAlignment="1">
      <alignment horizontal="center" vertical="center" readingOrder="2"/>
    </xf>
    <xf numFmtId="164" fontId="13" fillId="2" borderId="28" xfId="1" applyFont="1" applyFill="1" applyBorder="1" applyAlignment="1">
      <alignment horizontal="center" vertical="center" readingOrder="2"/>
    </xf>
    <xf numFmtId="164" fontId="13" fillId="0" borderId="0" xfId="1" applyFont="1" applyAlignment="1">
      <alignment horizontal="center" vertical="center"/>
    </xf>
    <xf numFmtId="164" fontId="13" fillId="0" borderId="0" xfId="1" applyFont="1" applyBorder="1" applyAlignment="1">
      <alignment horizontal="center" vertical="center" readingOrder="2"/>
    </xf>
    <xf numFmtId="0" fontId="13" fillId="0" borderId="0" xfId="0" applyFont="1" applyAlignment="1">
      <alignment vertical="center" wrapText="1"/>
    </xf>
    <xf numFmtId="164" fontId="13" fillId="6" borderId="0" xfId="1" applyFont="1" applyFill="1" applyAlignment="1" applyProtection="1">
      <alignment horizontal="center" vertical="center"/>
    </xf>
    <xf numFmtId="0" fontId="13" fillId="6" borderId="0" xfId="0" applyFont="1" applyFill="1" applyAlignment="1">
      <alignment horizontal="center" vertical="center"/>
    </xf>
    <xf numFmtId="0" fontId="5" fillId="0" borderId="0" xfId="0" applyFont="1"/>
    <xf numFmtId="164" fontId="7" fillId="8" borderId="27" xfId="1" applyFont="1" applyFill="1" applyBorder="1" applyAlignment="1" applyProtection="1">
      <alignment horizontal="center" vertical="center"/>
    </xf>
    <xf numFmtId="164" fontId="7" fillId="8" borderId="26" xfId="1" applyFont="1" applyFill="1" applyBorder="1" applyAlignment="1" applyProtection="1">
      <alignment horizontal="center" vertical="center"/>
    </xf>
    <xf numFmtId="164" fontId="13" fillId="0" borderId="0" xfId="1" applyFont="1" applyAlignment="1" applyProtection="1">
      <alignment horizontal="center" vertical="center"/>
    </xf>
    <xf numFmtId="164" fontId="13" fillId="4" borderId="23" xfId="1" applyFont="1" applyFill="1" applyBorder="1" applyAlignment="1" applyProtection="1">
      <alignment horizontal="center" vertical="center"/>
    </xf>
    <xf numFmtId="164" fontId="7" fillId="8" borderId="23" xfId="1" applyFont="1" applyFill="1" applyBorder="1" applyAlignment="1" applyProtection="1">
      <alignment horizontal="center" vertical="center"/>
    </xf>
    <xf numFmtId="164" fontId="7" fillId="8" borderId="31" xfId="1" applyFont="1" applyFill="1" applyBorder="1" applyAlignment="1" applyProtection="1">
      <alignment horizontal="center" vertical="center"/>
    </xf>
    <xf numFmtId="164" fontId="7" fillId="8" borderId="28" xfId="1" applyFont="1" applyFill="1" applyBorder="1" applyAlignment="1" applyProtection="1">
      <alignment horizontal="center" vertical="center"/>
    </xf>
    <xf numFmtId="164" fontId="13" fillId="4" borderId="23" xfId="0" applyNumberFormat="1" applyFont="1" applyFill="1" applyBorder="1" applyAlignment="1">
      <alignment horizontal="center" vertical="center"/>
    </xf>
    <xf numFmtId="164" fontId="13" fillId="0" borderId="0" xfId="1" applyFont="1" applyFill="1" applyAlignment="1" applyProtection="1">
      <alignment horizontal="center" vertical="center"/>
    </xf>
    <xf numFmtId="0" fontId="7" fillId="8" borderId="27" xfId="0" applyFont="1" applyFill="1" applyBorder="1" applyAlignment="1">
      <alignment horizontal="center" vertical="center"/>
    </xf>
    <xf numFmtId="0" fontId="7" fillId="8" borderId="26" xfId="0" applyFont="1" applyFill="1" applyBorder="1" applyAlignment="1">
      <alignment horizontal="center" vertical="center"/>
    </xf>
    <xf numFmtId="0" fontId="13" fillId="4" borderId="23" xfId="0" applyFont="1" applyFill="1" applyBorder="1" applyAlignment="1">
      <alignment horizontal="center" vertical="center"/>
    </xf>
    <xf numFmtId="0" fontId="7" fillId="8" borderId="23" xfId="0" applyFont="1" applyFill="1" applyBorder="1" applyAlignment="1">
      <alignment horizontal="center"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7" fillId="8" borderId="20" xfId="0" applyFont="1" applyFill="1" applyBorder="1" applyAlignment="1">
      <alignment horizontal="center" vertical="center"/>
    </xf>
    <xf numFmtId="0" fontId="7" fillId="8" borderId="1" xfId="0" applyFont="1" applyFill="1" applyBorder="1" applyAlignment="1">
      <alignment horizontal="center" vertical="center"/>
    </xf>
    <xf numFmtId="0" fontId="13" fillId="3" borderId="0" xfId="0" applyFont="1" applyFill="1" applyAlignment="1">
      <alignment horizontal="center" vertical="center" wrapText="1"/>
    </xf>
    <xf numFmtId="0" fontId="13" fillId="2" borderId="32" xfId="0" applyFont="1" applyFill="1" applyBorder="1" applyAlignment="1">
      <alignment horizontal="center" vertical="center" wrapText="1"/>
    </xf>
    <xf numFmtId="49" fontId="13" fillId="2" borderId="34" xfId="0" applyNumberFormat="1" applyFont="1" applyFill="1" applyBorder="1" applyAlignment="1">
      <alignment horizontal="center" vertical="center" wrapText="1"/>
    </xf>
    <xf numFmtId="169" fontId="13" fillId="2" borderId="26" xfId="0" applyNumberFormat="1" applyFont="1" applyFill="1" applyBorder="1" applyAlignment="1">
      <alignment horizontal="center"/>
    </xf>
    <xf numFmtId="0" fontId="13" fillId="12" borderId="0" xfId="0" applyFont="1" applyFill="1" applyAlignment="1">
      <alignment horizontal="center" vertical="center"/>
    </xf>
    <xf numFmtId="0" fontId="13" fillId="2" borderId="26" xfId="0" applyFont="1" applyFill="1" applyBorder="1" applyAlignment="1">
      <alignment horizontal="center" vertical="center" wrapText="1"/>
    </xf>
    <xf numFmtId="49" fontId="13" fillId="2" borderId="26" xfId="0" applyNumberFormat="1" applyFont="1" applyFill="1" applyBorder="1" applyAlignment="1">
      <alignment horizontal="center" vertical="center" wrapText="1"/>
    </xf>
    <xf numFmtId="0" fontId="13" fillId="2" borderId="37" xfId="0" applyFont="1" applyFill="1" applyBorder="1" applyAlignment="1">
      <alignment horizontal="center"/>
    </xf>
    <xf numFmtId="168" fontId="15" fillId="13" borderId="26" xfId="0" applyNumberFormat="1" applyFont="1" applyFill="1" applyBorder="1" applyAlignment="1">
      <alignment horizontal="center"/>
    </xf>
    <xf numFmtId="168" fontId="15" fillId="13" borderId="37" xfId="0" applyNumberFormat="1" applyFont="1" applyFill="1" applyBorder="1" applyAlignment="1">
      <alignment horizontal="center"/>
    </xf>
    <xf numFmtId="0" fontId="5" fillId="14" borderId="39" xfId="0" applyFont="1" applyFill="1" applyBorder="1" applyAlignment="1">
      <alignment horizontal="center" vertical="center" wrapText="1"/>
    </xf>
    <xf numFmtId="2" fontId="5" fillId="14" borderId="39" xfId="0" applyNumberFormat="1" applyFont="1" applyFill="1" applyBorder="1" applyAlignment="1">
      <alignment horizontal="center" vertical="center"/>
    </xf>
    <xf numFmtId="14" fontId="5" fillId="14" borderId="39" xfId="0" applyNumberFormat="1" applyFont="1" applyFill="1" applyBorder="1" applyAlignment="1">
      <alignment horizontal="center" vertical="center"/>
    </xf>
    <xf numFmtId="0" fontId="5" fillId="15" borderId="39" xfId="0" applyFont="1" applyFill="1" applyBorder="1" applyAlignment="1">
      <alignment horizontal="center" vertical="center" wrapText="1"/>
    </xf>
    <xf numFmtId="0" fontId="5" fillId="0" borderId="39" xfId="0" applyFont="1" applyBorder="1" applyAlignment="1">
      <alignment horizontal="center" vertical="center"/>
    </xf>
    <xf numFmtId="10" fontId="5" fillId="0" borderId="39" xfId="0" applyNumberFormat="1" applyFont="1" applyBorder="1" applyAlignment="1">
      <alignment horizontal="center" vertical="center" wrapText="1"/>
    </xf>
    <xf numFmtId="0" fontId="5" fillId="0" borderId="39" xfId="0" applyFont="1" applyBorder="1" applyAlignment="1">
      <alignment horizontal="center" vertical="center" wrapText="1"/>
    </xf>
    <xf numFmtId="10" fontId="5" fillId="0" borderId="39" xfId="0" applyNumberFormat="1" applyFont="1" applyBorder="1" applyAlignment="1">
      <alignment horizontal="center" vertical="center"/>
    </xf>
    <xf numFmtId="0" fontId="5" fillId="16" borderId="39" xfId="0" applyFont="1" applyFill="1" applyBorder="1" applyAlignment="1">
      <alignment horizontal="center" vertical="center"/>
    </xf>
    <xf numFmtId="164" fontId="5" fillId="0" borderId="39" xfId="1" applyFont="1" applyBorder="1" applyAlignment="1">
      <alignment horizontal="center" vertical="center"/>
    </xf>
    <xf numFmtId="164" fontId="5" fillId="14" borderId="39" xfId="1" applyFont="1" applyFill="1" applyBorder="1" applyAlignment="1">
      <alignment horizontal="center" vertical="center"/>
    </xf>
    <xf numFmtId="164" fontId="13" fillId="0" borderId="0" xfId="0" applyNumberFormat="1" applyFont="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top" wrapText="1"/>
    </xf>
    <xf numFmtId="164" fontId="22" fillId="0" borderId="0" xfId="1" applyFont="1" applyFill="1" applyAlignment="1" applyProtection="1">
      <alignment horizontal="center" vertical="center"/>
    </xf>
    <xf numFmtId="0" fontId="13" fillId="0" borderId="43" xfId="0" applyFont="1" applyBorder="1" applyAlignment="1">
      <alignment horizontal="center" vertical="center" wrapText="1"/>
    </xf>
    <xf numFmtId="0" fontId="23" fillId="0" borderId="43" xfId="0" applyFont="1" applyBorder="1" applyAlignment="1">
      <alignment horizontal="center" vertical="center" wrapText="1"/>
    </xf>
    <xf numFmtId="164" fontId="22" fillId="13" borderId="0" xfId="1" applyFont="1" applyFill="1" applyAlignment="1" applyProtection="1">
      <alignment horizontal="center" vertical="center"/>
      <protection locked="0"/>
    </xf>
    <xf numFmtId="0" fontId="13" fillId="0" borderId="45" xfId="0" applyFont="1" applyBorder="1" applyAlignment="1">
      <alignment horizontal="center" vertical="center"/>
    </xf>
    <xf numFmtId="164" fontId="13" fillId="0" borderId="46" xfId="1" applyFont="1" applyFill="1" applyBorder="1" applyAlignment="1" applyProtection="1">
      <alignment horizontal="center" vertical="center"/>
    </xf>
    <xf numFmtId="164" fontId="28" fillId="0" borderId="47" xfId="1" applyFont="1" applyFill="1" applyBorder="1" applyAlignment="1" applyProtection="1">
      <alignment horizontal="center" vertical="center"/>
    </xf>
    <xf numFmtId="0" fontId="13" fillId="0" borderId="48" xfId="0" applyFont="1" applyBorder="1" applyAlignment="1">
      <alignment horizontal="center" vertical="center" wrapText="1"/>
    </xf>
    <xf numFmtId="0" fontId="13" fillId="0" borderId="49" xfId="0" applyFont="1" applyBorder="1" applyAlignment="1">
      <alignment horizontal="center" vertical="center"/>
    </xf>
    <xf numFmtId="164" fontId="13" fillId="0" borderId="0" xfId="1" applyFont="1" applyFill="1" applyBorder="1" applyAlignment="1" applyProtection="1">
      <alignment horizontal="center" vertical="center"/>
    </xf>
    <xf numFmtId="164" fontId="28" fillId="0" borderId="50" xfId="1" applyFont="1" applyFill="1" applyBorder="1" applyAlignment="1" applyProtection="1">
      <alignment horizontal="center" vertical="center"/>
    </xf>
    <xf numFmtId="0" fontId="13" fillId="0" borderId="51" xfId="0" applyFont="1" applyBorder="1" applyAlignment="1">
      <alignment horizontal="center" vertical="center"/>
    </xf>
    <xf numFmtId="164" fontId="13" fillId="0" borderId="52" xfId="1" applyFont="1" applyFill="1" applyBorder="1" applyAlignment="1" applyProtection="1">
      <alignment horizontal="center" vertical="center"/>
    </xf>
    <xf numFmtId="164" fontId="28" fillId="0" borderId="53" xfId="1" applyFont="1" applyFill="1" applyBorder="1" applyAlignment="1" applyProtection="1">
      <alignment horizontal="center" vertical="center"/>
    </xf>
    <xf numFmtId="164" fontId="28" fillId="4" borderId="47" xfId="1" applyFont="1" applyFill="1" applyBorder="1" applyAlignment="1" applyProtection="1">
      <alignment horizontal="center" vertical="center"/>
    </xf>
    <xf numFmtId="14" fontId="29" fillId="0" borderId="28" xfId="0" applyNumberFormat="1" applyFont="1" applyBorder="1" applyAlignment="1">
      <alignment horizontal="center" vertical="center" readingOrder="2"/>
    </xf>
    <xf numFmtId="164" fontId="13" fillId="0" borderId="28" xfId="1" applyFont="1" applyBorder="1" applyAlignment="1">
      <alignment horizontal="center" vertical="center" readingOrder="2"/>
    </xf>
    <xf numFmtId="164" fontId="13" fillId="0" borderId="28" xfId="1" applyFont="1" applyBorder="1" applyAlignment="1">
      <alignment horizontal="center" vertical="center"/>
    </xf>
    <xf numFmtId="0" fontId="13" fillId="0" borderId="0" xfId="0" applyFont="1" applyAlignment="1">
      <alignment horizontal="center" vertical="center" wrapText="1" readingOrder="2"/>
    </xf>
    <xf numFmtId="0" fontId="13" fillId="4" borderId="0" xfId="0" applyFont="1" applyFill="1" applyAlignment="1">
      <alignment horizontal="center" vertical="center" wrapText="1" readingOrder="2"/>
    </xf>
    <xf numFmtId="164" fontId="13" fillId="18" borderId="28" xfId="1" applyFont="1" applyFill="1" applyBorder="1" applyAlignment="1">
      <alignment horizontal="center" vertical="center" readingOrder="2"/>
    </xf>
    <xf numFmtId="167" fontId="34" fillId="0" borderId="28" xfId="0" applyNumberFormat="1" applyFont="1" applyBorder="1" applyAlignment="1">
      <alignment horizontal="center" vertical="center" readingOrder="2"/>
    </xf>
    <xf numFmtId="171" fontId="13" fillId="0" borderId="0" xfId="3" applyNumberFormat="1" applyFont="1" applyFill="1" applyBorder="1" applyAlignment="1" applyProtection="1">
      <alignment horizontal="center" vertical="center"/>
    </xf>
    <xf numFmtId="164" fontId="13" fillId="2" borderId="39" xfId="1" applyFont="1" applyFill="1" applyBorder="1" applyAlignment="1">
      <alignment horizontal="center" vertical="center" readingOrder="2"/>
    </xf>
    <xf numFmtId="164" fontId="13" fillId="0" borderId="39" xfId="1" applyFont="1" applyBorder="1" applyAlignment="1">
      <alignment horizontal="center" vertical="center" readingOrder="2"/>
    </xf>
    <xf numFmtId="0" fontId="13" fillId="0" borderId="55" xfId="0" applyFont="1" applyBorder="1" applyAlignment="1">
      <alignment horizontal="center" vertical="center"/>
    </xf>
    <xf numFmtId="0" fontId="13" fillId="0" borderId="56" xfId="0" applyFont="1" applyBorder="1" applyAlignment="1">
      <alignment horizontal="center" vertical="center"/>
    </xf>
    <xf numFmtId="0" fontId="13" fillId="0" borderId="57" xfId="0" applyFont="1" applyBorder="1" applyAlignment="1">
      <alignment horizontal="center" vertical="center"/>
    </xf>
    <xf numFmtId="164" fontId="13" fillId="0" borderId="58" xfId="0" applyNumberFormat="1" applyFont="1" applyBorder="1" applyAlignment="1">
      <alignment horizontal="center" vertical="center"/>
    </xf>
    <xf numFmtId="164" fontId="13" fillId="0" borderId="59" xfId="1" applyFont="1" applyBorder="1" applyAlignment="1">
      <alignment horizontal="center" vertical="center" readingOrder="2"/>
    </xf>
    <xf numFmtId="170" fontId="13" fillId="0" borderId="0" xfId="1" applyNumberFormat="1" applyFont="1" applyFill="1" applyBorder="1" applyAlignment="1" applyProtection="1">
      <alignment horizontal="center" vertical="center"/>
    </xf>
    <xf numFmtId="0" fontId="13" fillId="0" borderId="60" xfId="0" applyFont="1" applyBorder="1" applyAlignment="1">
      <alignment horizontal="center" vertical="center"/>
    </xf>
    <xf numFmtId="0" fontId="13" fillId="0" borderId="61" xfId="0" applyFont="1" applyBorder="1" applyAlignment="1">
      <alignment horizontal="center" vertical="center"/>
    </xf>
    <xf numFmtId="164" fontId="13" fillId="0" borderId="61" xfId="0" applyNumberFormat="1" applyFont="1" applyBorder="1" applyAlignment="1">
      <alignment horizontal="center" vertical="center"/>
    </xf>
    <xf numFmtId="0" fontId="13" fillId="0" borderId="62" xfId="0" applyFont="1" applyBorder="1" applyAlignment="1">
      <alignment horizontal="center" vertical="center"/>
    </xf>
    <xf numFmtId="164" fontId="13" fillId="4" borderId="0" xfId="0" applyNumberFormat="1" applyFont="1" applyFill="1" applyAlignment="1">
      <alignment horizontal="center" vertical="center"/>
    </xf>
    <xf numFmtId="164" fontId="13" fillId="4" borderId="58" xfId="0" applyNumberFormat="1" applyFont="1" applyFill="1" applyBorder="1" applyAlignment="1">
      <alignment horizontal="center" vertical="center"/>
    </xf>
    <xf numFmtId="0" fontId="13" fillId="0" borderId="64" xfId="0" applyFont="1" applyBorder="1" applyAlignment="1">
      <alignment horizontal="center" vertical="center"/>
    </xf>
    <xf numFmtId="171" fontId="13" fillId="0" borderId="64" xfId="3" applyNumberFormat="1" applyFont="1" applyFill="1" applyBorder="1" applyAlignment="1" applyProtection="1">
      <alignment horizontal="center" vertical="center"/>
    </xf>
    <xf numFmtId="164" fontId="13" fillId="0" borderId="64" xfId="1" applyFont="1" applyFill="1" applyBorder="1" applyAlignment="1" applyProtection="1">
      <alignment horizontal="center" vertical="center"/>
    </xf>
    <xf numFmtId="164" fontId="13" fillId="0" borderId="64" xfId="0" applyNumberFormat="1" applyFont="1" applyBorder="1" applyAlignment="1">
      <alignment horizontal="center" vertical="center"/>
    </xf>
    <xf numFmtId="164" fontId="13" fillId="0" borderId="65" xfId="0" applyNumberFormat="1" applyFont="1" applyBorder="1" applyAlignment="1">
      <alignment horizontal="center" vertical="center"/>
    </xf>
    <xf numFmtId="0" fontId="13" fillId="0" borderId="66" xfId="0" applyFont="1" applyBorder="1" applyAlignment="1">
      <alignment horizontal="center" vertical="center"/>
    </xf>
    <xf numFmtId="164" fontId="13" fillId="0" borderId="67" xfId="0" applyNumberFormat="1" applyFont="1" applyBorder="1" applyAlignment="1">
      <alignment horizontal="center" vertical="center"/>
    </xf>
    <xf numFmtId="0" fontId="13" fillId="0" borderId="68" xfId="0" applyFont="1" applyBorder="1" applyAlignment="1">
      <alignment horizontal="center" vertical="center"/>
    </xf>
    <xf numFmtId="0" fontId="13" fillId="0" borderId="69" xfId="0" applyFont="1" applyBorder="1" applyAlignment="1">
      <alignment horizontal="center" vertical="center"/>
    </xf>
    <xf numFmtId="164" fontId="13" fillId="0" borderId="69" xfId="0" applyNumberFormat="1" applyFont="1" applyBorder="1" applyAlignment="1">
      <alignment horizontal="center" vertical="center"/>
    </xf>
    <xf numFmtId="0" fontId="13" fillId="0" borderId="70" xfId="0" applyFont="1" applyBorder="1" applyAlignment="1">
      <alignment horizontal="center" vertical="center"/>
    </xf>
    <xf numFmtId="164" fontId="13" fillId="4" borderId="67" xfId="0" applyNumberFormat="1" applyFont="1" applyFill="1" applyBorder="1" applyAlignment="1">
      <alignment horizontal="center" vertical="center"/>
    </xf>
    <xf numFmtId="0" fontId="13" fillId="0" borderId="63" xfId="0" applyFont="1" applyBorder="1" applyAlignment="1">
      <alignment horizontal="center" vertical="center"/>
    </xf>
    <xf numFmtId="0" fontId="13" fillId="0" borderId="38" xfId="0" applyFont="1" applyBorder="1" applyAlignment="1">
      <alignment horizontal="center" vertical="center"/>
    </xf>
    <xf numFmtId="0" fontId="13" fillId="0" borderId="54" xfId="0" applyFont="1" applyBorder="1" applyAlignment="1">
      <alignment horizontal="center" vertical="center"/>
    </xf>
    <xf numFmtId="0" fontId="18" fillId="0" borderId="43" xfId="0" applyFont="1" applyBorder="1" applyAlignment="1">
      <alignment horizontal="center" vertical="center" wrapText="1"/>
    </xf>
    <xf numFmtId="10" fontId="18" fillId="0" borderId="43" xfId="0" applyNumberFormat="1" applyFont="1" applyBorder="1" applyAlignment="1">
      <alignment horizontal="center" vertical="center" wrapText="1"/>
    </xf>
    <xf numFmtId="164" fontId="18" fillId="0" borderId="43" xfId="1" applyFont="1" applyFill="1" applyBorder="1" applyAlignment="1" applyProtection="1">
      <alignment horizontal="center" vertical="center" wrapText="1"/>
    </xf>
    <xf numFmtId="9" fontId="13" fillId="0" borderId="0" xfId="3" applyFont="1" applyAlignment="1">
      <alignment horizontal="center" vertical="center"/>
    </xf>
    <xf numFmtId="171" fontId="13" fillId="0" borderId="0" xfId="3" applyNumberFormat="1" applyFont="1" applyAlignment="1">
      <alignment horizontal="center" vertical="center"/>
    </xf>
    <xf numFmtId="164" fontId="13" fillId="19" borderId="28" xfId="1" applyFont="1" applyFill="1" applyBorder="1" applyAlignment="1">
      <alignment horizontal="center" vertical="center" readingOrder="2"/>
    </xf>
    <xf numFmtId="0" fontId="13" fillId="22" borderId="0" xfId="0" applyFont="1" applyFill="1" applyAlignment="1">
      <alignment horizontal="center" vertical="center"/>
    </xf>
    <xf numFmtId="0" fontId="13" fillId="23" borderId="0" xfId="0" applyFont="1" applyFill="1" applyAlignment="1">
      <alignment horizontal="center" vertical="center"/>
    </xf>
    <xf numFmtId="0" fontId="5" fillId="0" borderId="71" xfId="0" applyFont="1" applyBorder="1" applyAlignment="1">
      <alignment vertical="center" wrapText="1"/>
    </xf>
    <xf numFmtId="0" fontId="5" fillId="0" borderId="0" xfId="0" applyFont="1" applyAlignment="1">
      <alignment vertical="center" wrapText="1"/>
    </xf>
    <xf numFmtId="0" fontId="18" fillId="0" borderId="43" xfId="0" applyFont="1" applyBorder="1" applyAlignment="1">
      <alignment horizontal="center" vertical="center" wrapText="1" readingOrder="2"/>
    </xf>
    <xf numFmtId="164" fontId="7" fillId="0" borderId="18" xfId="1" applyFont="1" applyBorder="1" applyAlignment="1">
      <alignment horizontal="center" vertical="center"/>
    </xf>
    <xf numFmtId="164" fontId="7" fillId="0" borderId="18" xfId="1" quotePrefix="1" applyFont="1" applyBorder="1" applyAlignment="1">
      <alignment horizontal="center" vertical="center"/>
    </xf>
    <xf numFmtId="9" fontId="0" fillId="0" borderId="0" xfId="3" applyFont="1"/>
    <xf numFmtId="0" fontId="0" fillId="0" borderId="0" xfId="0" applyAlignment="1">
      <alignment horizontal="center" vertical="center" wrapText="1"/>
    </xf>
    <xf numFmtId="0" fontId="39" fillId="0" borderId="0" xfId="0" applyFont="1" applyAlignment="1">
      <alignment horizontal="center" vertical="center" wrapText="1"/>
    </xf>
    <xf numFmtId="164" fontId="0" fillId="0" borderId="0" xfId="1" applyFont="1"/>
    <xf numFmtId="43" fontId="0" fillId="0" borderId="0" xfId="0" applyNumberFormat="1"/>
    <xf numFmtId="10" fontId="0" fillId="0" borderId="0" xfId="3" applyNumberFormat="1" applyFont="1"/>
    <xf numFmtId="10" fontId="0" fillId="0" borderId="0" xfId="0" applyNumberFormat="1"/>
    <xf numFmtId="43" fontId="0" fillId="24" borderId="0" xfId="0" applyNumberFormat="1" applyFill="1"/>
    <xf numFmtId="164" fontId="0" fillId="0" borderId="0" xfId="0" applyNumberFormat="1"/>
    <xf numFmtId="43" fontId="13" fillId="0" borderId="0" xfId="0" applyNumberFormat="1" applyFont="1" applyAlignment="1">
      <alignment horizontal="center" vertical="center"/>
    </xf>
    <xf numFmtId="164" fontId="28" fillId="24" borderId="47" xfId="1" applyFont="1" applyFill="1" applyBorder="1" applyAlignment="1" applyProtection="1">
      <alignment horizontal="center" vertical="center"/>
    </xf>
    <xf numFmtId="10" fontId="13" fillId="0" borderId="0" xfId="3" applyNumberFormat="1" applyFont="1" applyAlignment="1">
      <alignment horizontal="center" vertical="center"/>
    </xf>
    <xf numFmtId="0" fontId="3" fillId="0" borderId="0" xfId="0" applyFont="1" applyAlignment="1">
      <alignment vertical="center"/>
    </xf>
    <xf numFmtId="0" fontId="41" fillId="0" borderId="0" xfId="4" applyFont="1" applyAlignment="1">
      <alignment vertical="center"/>
    </xf>
    <xf numFmtId="0" fontId="13" fillId="3" borderId="0" xfId="0" applyFont="1" applyFill="1" applyAlignment="1">
      <alignment horizontal="center" vertical="center"/>
    </xf>
    <xf numFmtId="0" fontId="13" fillId="3" borderId="0" xfId="0" applyFont="1" applyFill="1" applyAlignment="1">
      <alignment horizontal="center" vertical="center" wrapText="1" readingOrder="2"/>
    </xf>
    <xf numFmtId="164" fontId="13" fillId="3" borderId="0" xfId="1" applyFont="1" applyFill="1" applyAlignment="1">
      <alignment horizontal="center" vertical="center"/>
    </xf>
    <xf numFmtId="168" fontId="13" fillId="0" borderId="0" xfId="3" applyNumberFormat="1" applyFont="1" applyAlignment="1">
      <alignment horizontal="center" vertical="center"/>
    </xf>
    <xf numFmtId="164" fontId="13" fillId="25" borderId="0" xfId="1" applyFont="1" applyFill="1" applyAlignment="1">
      <alignment horizontal="center" vertical="center" wrapText="1"/>
    </xf>
    <xf numFmtId="164" fontId="28" fillId="4" borderId="43" xfId="1" applyFont="1" applyFill="1" applyBorder="1" applyAlignment="1" applyProtection="1">
      <alignment horizontal="center" vertical="center"/>
    </xf>
    <xf numFmtId="164" fontId="13" fillId="0" borderId="0" xfId="1" applyFont="1" applyAlignment="1">
      <alignment horizontal="center" vertical="center" wrapText="1"/>
    </xf>
    <xf numFmtId="164" fontId="13" fillId="0" borderId="0" xfId="1" applyFont="1" applyFill="1" applyAlignment="1">
      <alignment horizontal="center" vertical="center"/>
    </xf>
    <xf numFmtId="164" fontId="13" fillId="0" borderId="28" xfId="1" applyFont="1" applyFill="1" applyBorder="1" applyAlignment="1">
      <alignment horizontal="center" vertical="center" readingOrder="2"/>
    </xf>
    <xf numFmtId="172" fontId="13" fillId="2" borderId="28" xfId="1" applyNumberFormat="1" applyFont="1" applyFill="1" applyBorder="1" applyAlignment="1">
      <alignment horizontal="center" vertical="center" readingOrder="2"/>
    </xf>
    <xf numFmtId="167" fontId="13" fillId="19" borderId="28" xfId="0" applyNumberFormat="1" applyFont="1" applyFill="1" applyBorder="1" applyAlignment="1">
      <alignment horizontal="center" vertical="center" readingOrder="2"/>
    </xf>
    <xf numFmtId="0" fontId="45" fillId="0" borderId="0" xfId="0" applyFont="1" applyAlignment="1">
      <alignment vertical="center"/>
    </xf>
    <xf numFmtId="0" fontId="46" fillId="0" borderId="0" xfId="0" applyFont="1" applyAlignment="1">
      <alignment horizontal="right" vertical="center" readingOrder="2"/>
    </xf>
    <xf numFmtId="164" fontId="48" fillId="4" borderId="43" xfId="1" applyFont="1" applyFill="1" applyBorder="1" applyAlignment="1" applyProtection="1">
      <alignment horizontal="center" vertical="center" wrapText="1"/>
    </xf>
    <xf numFmtId="0" fontId="1" fillId="0" borderId="43" xfId="0" applyFont="1" applyBorder="1" applyAlignment="1">
      <alignment horizontal="center" vertical="center" wrapText="1"/>
    </xf>
    <xf numFmtId="164" fontId="47" fillId="26" borderId="43" xfId="1" applyFont="1" applyFill="1" applyBorder="1" applyAlignment="1">
      <alignment horizontal="center" vertical="center" wrapText="1"/>
    </xf>
    <xf numFmtId="164" fontId="18" fillId="10" borderId="43" xfId="1" applyFont="1" applyFill="1" applyBorder="1" applyAlignment="1">
      <alignment horizontal="center" vertical="center"/>
    </xf>
    <xf numFmtId="164" fontId="18" fillId="10" borderId="43" xfId="1" applyFont="1" applyFill="1" applyBorder="1" applyAlignment="1">
      <alignment horizontal="center" vertical="center" wrapText="1"/>
    </xf>
    <xf numFmtId="164" fontId="18" fillId="28" borderId="43" xfId="1" applyFont="1" applyFill="1" applyBorder="1" applyAlignment="1">
      <alignment horizontal="center" vertical="center"/>
    </xf>
    <xf numFmtId="164" fontId="5" fillId="0" borderId="43" xfId="1" applyFont="1" applyFill="1" applyBorder="1" applyAlignment="1">
      <alignment horizontal="center" vertical="center"/>
    </xf>
    <xf numFmtId="164" fontId="13" fillId="0" borderId="43" xfId="1" applyFont="1" applyFill="1" applyBorder="1" applyAlignment="1">
      <alignment horizontal="center" vertical="center" readingOrder="2"/>
    </xf>
    <xf numFmtId="164" fontId="3" fillId="18" borderId="43" xfId="1" applyFont="1" applyFill="1" applyBorder="1" applyAlignment="1">
      <alignment horizontal="center" vertical="center"/>
    </xf>
    <xf numFmtId="164" fontId="3" fillId="18" borderId="43" xfId="1" applyFont="1" applyFill="1" applyBorder="1" applyAlignment="1">
      <alignment horizontal="center" vertical="center" readingOrder="2"/>
    </xf>
    <xf numFmtId="164" fontId="5" fillId="0" borderId="43" xfId="1" applyFont="1" applyBorder="1" applyAlignment="1">
      <alignment horizontal="center" vertical="center"/>
    </xf>
    <xf numFmtId="0" fontId="5" fillId="14" borderId="40" xfId="0" applyFont="1" applyFill="1" applyBorder="1" applyAlignment="1">
      <alignment horizontal="center" vertical="center"/>
    </xf>
    <xf numFmtId="0" fontId="5" fillId="14" borderId="41" xfId="0" applyFont="1" applyFill="1" applyBorder="1" applyAlignment="1">
      <alignment horizontal="center" vertical="center"/>
    </xf>
    <xf numFmtId="0" fontId="5" fillId="14" borderId="42" xfId="0" applyFont="1" applyFill="1" applyBorder="1" applyAlignment="1">
      <alignment horizontal="center" vertical="center"/>
    </xf>
    <xf numFmtId="0" fontId="5" fillId="0" borderId="0" xfId="0" applyFont="1" applyAlignment="1">
      <alignment horizontal="center" vertical="center" wrapText="1"/>
    </xf>
    <xf numFmtId="0" fontId="37" fillId="11" borderId="0" xfId="0" applyFont="1" applyFill="1" applyAlignment="1">
      <alignment horizontal="center" vertical="center" wrapText="1" readingOrder="2"/>
    </xf>
    <xf numFmtId="0" fontId="31" fillId="4" borderId="0" xfId="0" applyFont="1" applyFill="1" applyAlignment="1">
      <alignment horizontal="center" vertical="center" wrapText="1"/>
    </xf>
    <xf numFmtId="0" fontId="41" fillId="0" borderId="0" xfId="4"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5" fillId="0" borderId="71" xfId="0" applyFont="1" applyBorder="1" applyAlignment="1">
      <alignment horizontal="center" vertical="center" wrapText="1"/>
    </xf>
    <xf numFmtId="0" fontId="31" fillId="18" borderId="0" xfId="0" applyFont="1" applyFill="1" applyAlignment="1">
      <alignment horizontal="center" vertical="center" wrapText="1"/>
    </xf>
    <xf numFmtId="0" fontId="5" fillId="24" borderId="71" xfId="0" applyFont="1" applyFill="1" applyBorder="1" applyAlignment="1">
      <alignment horizontal="center" vertical="center" wrapText="1"/>
    </xf>
    <xf numFmtId="0" fontId="5" fillId="24" borderId="0" xfId="0" applyFont="1" applyFill="1" applyAlignment="1">
      <alignment horizontal="center" vertical="center" wrapText="1"/>
    </xf>
    <xf numFmtId="0" fontId="12" fillId="10" borderId="38" xfId="0" applyFont="1" applyFill="1" applyBorder="1" applyAlignment="1">
      <alignment horizontal="center" vertical="center"/>
    </xf>
    <xf numFmtId="0" fontId="13" fillId="18" borderId="0" xfId="0" applyFont="1" applyFill="1" applyAlignment="1">
      <alignment horizontal="center" vertical="center"/>
    </xf>
    <xf numFmtId="0" fontId="42" fillId="21" borderId="0" xfId="0" applyFont="1" applyFill="1" applyAlignment="1">
      <alignment horizontal="center" vertical="center" wrapText="1" readingOrder="2"/>
    </xf>
    <xf numFmtId="0" fontId="38" fillId="20" borderId="0" xfId="0" applyFont="1" applyFill="1" applyAlignment="1">
      <alignment horizontal="center" vertical="center" wrapText="1"/>
    </xf>
    <xf numFmtId="0" fontId="36" fillId="11" borderId="72" xfId="0" applyFont="1" applyFill="1" applyBorder="1" applyAlignment="1">
      <alignment horizontal="center" vertical="center" wrapText="1" readingOrder="2"/>
    </xf>
    <xf numFmtId="0" fontId="36" fillId="11" borderId="73" xfId="0" applyFont="1" applyFill="1" applyBorder="1" applyAlignment="1">
      <alignment horizontal="center" vertical="center" wrapText="1" readingOrder="2"/>
    </xf>
    <xf numFmtId="0" fontId="36" fillId="11" borderId="74" xfId="0" applyFont="1" applyFill="1" applyBorder="1" applyAlignment="1">
      <alignment horizontal="center" vertical="center" wrapText="1" readingOrder="2"/>
    </xf>
    <xf numFmtId="0" fontId="36" fillId="11" borderId="75" xfId="0" applyFont="1" applyFill="1" applyBorder="1" applyAlignment="1">
      <alignment horizontal="center" vertical="center" wrapText="1" readingOrder="2"/>
    </xf>
    <xf numFmtId="0" fontId="36" fillId="11" borderId="0" xfId="0" applyFont="1" applyFill="1" applyAlignment="1">
      <alignment horizontal="center" vertical="center" wrapText="1" readingOrder="2"/>
    </xf>
    <xf numFmtId="0" fontId="36" fillId="11" borderId="44" xfId="0" applyFont="1" applyFill="1" applyBorder="1" applyAlignment="1">
      <alignment horizontal="center" vertical="center" wrapText="1" readingOrder="2"/>
    </xf>
    <xf numFmtId="0" fontId="36" fillId="11" borderId="76" xfId="0" applyFont="1" applyFill="1" applyBorder="1" applyAlignment="1">
      <alignment horizontal="center" vertical="center" wrapText="1" readingOrder="2"/>
    </xf>
    <xf numFmtId="0" fontId="36" fillId="11" borderId="16" xfId="0" applyFont="1" applyFill="1" applyBorder="1" applyAlignment="1">
      <alignment horizontal="center" vertical="center" wrapText="1" readingOrder="2"/>
    </xf>
    <xf numFmtId="0" fontId="36" fillId="11" borderId="77" xfId="0" applyFont="1" applyFill="1" applyBorder="1" applyAlignment="1">
      <alignment horizontal="center" vertical="center" wrapText="1" readingOrder="2"/>
    </xf>
    <xf numFmtId="0" fontId="3" fillId="21" borderId="0" xfId="0" applyFont="1" applyFill="1" applyAlignment="1">
      <alignment horizontal="center" vertical="center" wrapText="1"/>
    </xf>
    <xf numFmtId="0" fontId="41" fillId="13" borderId="0" xfId="4" applyFont="1" applyFill="1" applyAlignment="1">
      <alignment horizontal="center" vertical="center"/>
    </xf>
    <xf numFmtId="0" fontId="6" fillId="7" borderId="18" xfId="0" applyFont="1" applyFill="1" applyBorder="1" applyAlignment="1">
      <alignment horizontal="center" vertical="center"/>
    </xf>
    <xf numFmtId="164" fontId="22" fillId="27" borderId="78" xfId="1" applyFont="1" applyFill="1" applyBorder="1" applyAlignment="1">
      <alignment horizontal="center" vertical="center" wrapText="1"/>
    </xf>
    <xf numFmtId="164" fontId="22" fillId="27" borderId="79" xfId="1" applyFont="1" applyFill="1" applyBorder="1" applyAlignment="1">
      <alignment horizontal="center" vertical="center" wrapText="1"/>
    </xf>
    <xf numFmtId="164" fontId="22" fillId="27" borderId="48" xfId="1" applyFont="1" applyFill="1" applyBorder="1" applyAlignment="1">
      <alignment horizontal="center" vertical="center" wrapText="1"/>
    </xf>
    <xf numFmtId="0" fontId="5" fillId="3" borderId="78" xfId="0" applyFont="1" applyFill="1" applyBorder="1" applyAlignment="1">
      <alignment horizontal="center" vertical="center"/>
    </xf>
    <xf numFmtId="0" fontId="5" fillId="3" borderId="79" xfId="0" applyFont="1" applyFill="1" applyBorder="1" applyAlignment="1">
      <alignment horizontal="center" vertical="center"/>
    </xf>
    <xf numFmtId="0" fontId="5" fillId="3" borderId="48" xfId="0" applyFont="1" applyFill="1" applyBorder="1" applyAlignment="1">
      <alignment horizontal="center" vertical="center"/>
    </xf>
    <xf numFmtId="0" fontId="13" fillId="21" borderId="0" xfId="0" applyFont="1" applyFill="1" applyAlignment="1">
      <alignment horizontal="center" vertical="center"/>
    </xf>
    <xf numFmtId="0" fontId="21" fillId="21" borderId="0" xfId="0" applyFont="1" applyFill="1" applyAlignment="1">
      <alignment horizontal="center" vertical="center"/>
    </xf>
    <xf numFmtId="0" fontId="3" fillId="21" borderId="0" xfId="0" applyFont="1" applyFill="1" applyAlignment="1">
      <alignment horizontal="center" vertical="center"/>
    </xf>
    <xf numFmtId="0" fontId="41" fillId="21" borderId="0" xfId="4" applyFont="1" applyFill="1" applyAlignment="1">
      <alignment horizontal="center" vertical="center"/>
    </xf>
    <xf numFmtId="0" fontId="24" fillId="0" borderId="0" xfId="0" applyFont="1" applyAlignment="1">
      <alignment horizontal="center" vertical="center" wrapText="1"/>
    </xf>
    <xf numFmtId="0" fontId="24" fillId="0" borderId="44" xfId="0" applyFont="1" applyBorder="1" applyAlignment="1">
      <alignment horizontal="center" vertical="center" wrapText="1"/>
    </xf>
    <xf numFmtId="0" fontId="27" fillId="11" borderId="0" xfId="0" applyFont="1" applyFill="1" applyAlignment="1">
      <alignment horizontal="center" vertical="center" wrapText="1" readingOrder="2"/>
    </xf>
    <xf numFmtId="0" fontId="13" fillId="0" borderId="0" xfId="0" applyFont="1" applyAlignment="1">
      <alignment horizontal="center" vertical="center"/>
    </xf>
    <xf numFmtId="0" fontId="13" fillId="0" borderId="66" xfId="0" applyFont="1" applyBorder="1" applyAlignment="1">
      <alignment horizontal="center" vertical="center" wrapText="1"/>
    </xf>
    <xf numFmtId="0" fontId="13" fillId="0" borderId="0" xfId="0" applyFont="1" applyAlignment="1">
      <alignment horizontal="center" vertical="center" wrapText="1"/>
    </xf>
    <xf numFmtId="0" fontId="13" fillId="3" borderId="0" xfId="0" applyFont="1" applyFill="1" applyAlignment="1">
      <alignment horizontal="center" vertical="center" wrapText="1"/>
    </xf>
    <xf numFmtId="0" fontId="7" fillId="5" borderId="29"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6" fillId="7" borderId="30" xfId="0" applyFont="1" applyFill="1" applyBorder="1" applyAlignment="1">
      <alignment horizontal="center" vertical="center"/>
    </xf>
    <xf numFmtId="0" fontId="7" fillId="3" borderId="22" xfId="0" applyFont="1" applyFill="1" applyBorder="1" applyAlignment="1">
      <alignment horizontal="right" vertical="center" wrapText="1"/>
    </xf>
    <xf numFmtId="0" fontId="7" fillId="3" borderId="19" xfId="0" applyFont="1" applyFill="1" applyBorder="1" applyAlignment="1">
      <alignment horizontal="right" vertical="center" wrapText="1"/>
    </xf>
    <xf numFmtId="0" fontId="6" fillId="7" borderId="35" xfId="0" applyFont="1" applyFill="1" applyBorder="1" applyAlignment="1">
      <alignment horizontal="center" vertical="center"/>
    </xf>
    <xf numFmtId="0" fontId="6" fillId="7" borderId="36" xfId="0" applyFont="1" applyFill="1" applyBorder="1" applyAlignment="1">
      <alignment horizontal="center" vertical="center"/>
    </xf>
    <xf numFmtId="0" fontId="7" fillId="5" borderId="22" xfId="0" applyFont="1" applyFill="1" applyBorder="1" applyAlignment="1">
      <alignment horizontal="center" vertical="center" wrapText="1"/>
    </xf>
    <xf numFmtId="0" fontId="6" fillId="7" borderId="24" xfId="0" applyFont="1" applyFill="1" applyBorder="1" applyAlignment="1">
      <alignment horizontal="center" vertical="center"/>
    </xf>
    <xf numFmtId="0" fontId="6" fillId="7" borderId="25" xfId="0" applyFont="1" applyFill="1" applyBorder="1" applyAlignment="1">
      <alignment horizontal="center" vertical="center"/>
    </xf>
    <xf numFmtId="0" fontId="7" fillId="5" borderId="17" xfId="0" applyFont="1" applyFill="1" applyBorder="1" applyAlignment="1">
      <alignment horizontal="center" vertical="center" wrapText="1"/>
    </xf>
    <xf numFmtId="0" fontId="12" fillId="2" borderId="26" xfId="0" applyFont="1" applyFill="1" applyBorder="1" applyAlignment="1">
      <alignment horizontal="center" vertical="center" wrapText="1"/>
    </xf>
    <xf numFmtId="168" fontId="14" fillId="2" borderId="22" xfId="0" applyNumberFormat="1" applyFont="1" applyFill="1" applyBorder="1" applyAlignment="1">
      <alignment horizontal="center" vertical="center"/>
    </xf>
    <xf numFmtId="168" fontId="14" fillId="2" borderId="19" xfId="0" applyNumberFormat="1" applyFont="1" applyFill="1" applyBorder="1" applyAlignment="1">
      <alignment horizontal="center" vertical="center"/>
    </xf>
    <xf numFmtId="0" fontId="12" fillId="2" borderId="22" xfId="0" applyFont="1" applyFill="1" applyBorder="1" applyAlignment="1">
      <alignment horizontal="center" vertical="center" wrapText="1"/>
    </xf>
    <xf numFmtId="0" fontId="12" fillId="2" borderId="33" xfId="0" applyFont="1" applyFill="1" applyBorder="1" applyAlignment="1">
      <alignment horizontal="center" vertical="center" wrapText="1"/>
    </xf>
    <xf numFmtId="0" fontId="2" fillId="2" borderId="4" xfId="0" applyFont="1" applyFill="1" applyBorder="1" applyAlignment="1">
      <alignment horizontal="center" vertical="center" wrapText="1" readingOrder="2"/>
    </xf>
    <xf numFmtId="0" fontId="2" fillId="2" borderId="5" xfId="0" applyFont="1" applyFill="1" applyBorder="1" applyAlignment="1">
      <alignment horizontal="center" vertical="center" wrapText="1" readingOrder="2"/>
    </xf>
    <xf numFmtId="0" fontId="2" fillId="2" borderId="3" xfId="0" applyFont="1" applyFill="1" applyBorder="1" applyAlignment="1">
      <alignment horizontal="center" vertical="center" wrapText="1" readingOrder="2"/>
    </xf>
    <xf numFmtId="0" fontId="2" fillId="2" borderId="8" xfId="0" applyFont="1" applyFill="1" applyBorder="1" applyAlignment="1">
      <alignment horizontal="center" vertical="center" wrapText="1" readingOrder="2"/>
    </xf>
    <xf numFmtId="0" fontId="3" fillId="0" borderId="16" xfId="0" applyFont="1" applyBorder="1" applyAlignment="1">
      <alignment horizontal="center"/>
    </xf>
    <xf numFmtId="0" fontId="2" fillId="2" borderId="2" xfId="0" applyFont="1" applyFill="1" applyBorder="1" applyAlignment="1">
      <alignment horizontal="center" vertical="center" wrapText="1" readingOrder="2"/>
    </xf>
    <xf numFmtId="0" fontId="2" fillId="2" borderId="7" xfId="0" applyFont="1" applyFill="1" applyBorder="1" applyAlignment="1">
      <alignment horizontal="center" vertical="center" wrapText="1" readingOrder="2"/>
    </xf>
    <xf numFmtId="0" fontId="2" fillId="2" borderId="6" xfId="0" applyFont="1" applyFill="1" applyBorder="1" applyAlignment="1">
      <alignment horizontal="center" vertical="center" wrapText="1" readingOrder="2"/>
    </xf>
    <xf numFmtId="0" fontId="2" fillId="2" borderId="10" xfId="0" applyFont="1" applyFill="1" applyBorder="1" applyAlignment="1">
      <alignment horizontal="center" vertical="center" wrapText="1" readingOrder="2"/>
    </xf>
    <xf numFmtId="164" fontId="49" fillId="4" borderId="72" xfId="1" applyFont="1" applyFill="1" applyBorder="1" applyAlignment="1">
      <alignment horizontal="center" vertical="center"/>
    </xf>
    <xf numFmtId="164" fontId="49" fillId="4" borderId="73" xfId="1" applyFont="1" applyFill="1" applyBorder="1" applyAlignment="1">
      <alignment horizontal="center" vertical="center"/>
    </xf>
    <xf numFmtId="164" fontId="49" fillId="4" borderId="74" xfId="1" applyFont="1" applyFill="1" applyBorder="1" applyAlignment="1">
      <alignment horizontal="center" vertical="center"/>
    </xf>
  </cellXfs>
  <cellStyles count="5">
    <cellStyle name="Comma" xfId="1" builtinId="3"/>
    <cellStyle name="Hyperlink" xfId="4" builtinId="8"/>
    <cellStyle name="Normal" xfId="0" builtinId="0"/>
    <cellStyle name="Percent" xfId="3" builtinId="5"/>
    <cellStyle name="Yellow" xfId="2"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342900</xdr:colOff>
      <xdr:row>1</xdr:row>
      <xdr:rowOff>371475</xdr:rowOff>
    </xdr:from>
    <xdr:to>
      <xdr:col>0</xdr:col>
      <xdr:colOff>1381125</xdr:colOff>
      <xdr:row>1</xdr:row>
      <xdr:rowOff>609600</xdr:rowOff>
    </xdr:to>
    <xdr:sp macro="" textlink="">
      <xdr:nvSpPr>
        <xdr:cNvPr id="2" name="Left Arrow 1">
          <a:extLst>
            <a:ext uri="{FF2B5EF4-FFF2-40B4-BE49-F238E27FC236}">
              <a16:creationId xmlns:a16="http://schemas.microsoft.com/office/drawing/2014/main" id="{EC6B4BC5-10AD-4AAC-800F-C7F246EC9B73}"/>
            </a:ext>
          </a:extLst>
        </xdr:cNvPr>
        <xdr:cNvSpPr/>
      </xdr:nvSpPr>
      <xdr:spPr>
        <a:xfrm>
          <a:off x="10082412525" y="866775"/>
          <a:ext cx="1038225" cy="14287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2</xdr:col>
      <xdr:colOff>342900</xdr:colOff>
      <xdr:row>1</xdr:row>
      <xdr:rowOff>371475</xdr:rowOff>
    </xdr:from>
    <xdr:to>
      <xdr:col>2</xdr:col>
      <xdr:colOff>1381125</xdr:colOff>
      <xdr:row>1</xdr:row>
      <xdr:rowOff>609600</xdr:rowOff>
    </xdr:to>
    <xdr:sp macro="" textlink="">
      <xdr:nvSpPr>
        <xdr:cNvPr id="3" name="Left Arrow 2">
          <a:extLst>
            <a:ext uri="{FF2B5EF4-FFF2-40B4-BE49-F238E27FC236}">
              <a16:creationId xmlns:a16="http://schemas.microsoft.com/office/drawing/2014/main" id="{6571CC7F-C676-4AF0-B492-5C645A51131F}"/>
            </a:ext>
          </a:extLst>
        </xdr:cNvPr>
        <xdr:cNvSpPr/>
      </xdr:nvSpPr>
      <xdr:spPr>
        <a:xfrm rot="10800000">
          <a:off x="10078650150" y="866775"/>
          <a:ext cx="1038225" cy="14287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2</xdr:col>
      <xdr:colOff>342900</xdr:colOff>
      <xdr:row>2</xdr:row>
      <xdr:rowOff>371475</xdr:rowOff>
    </xdr:from>
    <xdr:to>
      <xdr:col>2</xdr:col>
      <xdr:colOff>1381125</xdr:colOff>
      <xdr:row>2</xdr:row>
      <xdr:rowOff>609600</xdr:rowOff>
    </xdr:to>
    <xdr:sp macro="" textlink="">
      <xdr:nvSpPr>
        <xdr:cNvPr id="4" name="Left Arrow 3">
          <a:extLst>
            <a:ext uri="{FF2B5EF4-FFF2-40B4-BE49-F238E27FC236}">
              <a16:creationId xmlns:a16="http://schemas.microsoft.com/office/drawing/2014/main" id="{C6ACA2DA-F32D-47E2-B875-AD2500063D6A}"/>
            </a:ext>
          </a:extLst>
        </xdr:cNvPr>
        <xdr:cNvSpPr/>
      </xdr:nvSpPr>
      <xdr:spPr>
        <a:xfrm rot="10800000">
          <a:off x="10078650150" y="1381125"/>
          <a:ext cx="1038225" cy="133350"/>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0</xdr:col>
      <xdr:colOff>342900</xdr:colOff>
      <xdr:row>2</xdr:row>
      <xdr:rowOff>371475</xdr:rowOff>
    </xdr:from>
    <xdr:to>
      <xdr:col>0</xdr:col>
      <xdr:colOff>1381125</xdr:colOff>
      <xdr:row>2</xdr:row>
      <xdr:rowOff>609600</xdr:rowOff>
    </xdr:to>
    <xdr:sp macro="" textlink="">
      <xdr:nvSpPr>
        <xdr:cNvPr id="5" name="Left Arrow 4">
          <a:extLst>
            <a:ext uri="{FF2B5EF4-FFF2-40B4-BE49-F238E27FC236}">
              <a16:creationId xmlns:a16="http://schemas.microsoft.com/office/drawing/2014/main" id="{A35C9CB1-9215-45E1-919E-C29ADE69CA46}"/>
            </a:ext>
          </a:extLst>
        </xdr:cNvPr>
        <xdr:cNvSpPr/>
      </xdr:nvSpPr>
      <xdr:spPr>
        <a:xfrm>
          <a:off x="10082412525" y="1381125"/>
          <a:ext cx="1038225" cy="133350"/>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342900</xdr:colOff>
      <xdr:row>1</xdr:row>
      <xdr:rowOff>371475</xdr:rowOff>
    </xdr:from>
    <xdr:to>
      <xdr:col>0</xdr:col>
      <xdr:colOff>1381125</xdr:colOff>
      <xdr:row>1</xdr:row>
      <xdr:rowOff>609600</xdr:rowOff>
    </xdr:to>
    <xdr:sp macro="" textlink="">
      <xdr:nvSpPr>
        <xdr:cNvPr id="2" name="Left Arrow 1">
          <a:extLst>
            <a:ext uri="{FF2B5EF4-FFF2-40B4-BE49-F238E27FC236}">
              <a16:creationId xmlns:a16="http://schemas.microsoft.com/office/drawing/2014/main" id="{6AC910A0-9FBD-441D-8FC9-9044688AD71C}"/>
            </a:ext>
          </a:extLst>
        </xdr:cNvPr>
        <xdr:cNvSpPr/>
      </xdr:nvSpPr>
      <xdr:spPr>
        <a:xfrm>
          <a:off x="10083345975" y="371475"/>
          <a:ext cx="1038225" cy="1238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2</xdr:col>
      <xdr:colOff>342900</xdr:colOff>
      <xdr:row>1</xdr:row>
      <xdr:rowOff>371475</xdr:rowOff>
    </xdr:from>
    <xdr:to>
      <xdr:col>2</xdr:col>
      <xdr:colOff>1381125</xdr:colOff>
      <xdr:row>1</xdr:row>
      <xdr:rowOff>609600</xdr:rowOff>
    </xdr:to>
    <xdr:sp macro="" textlink="">
      <xdr:nvSpPr>
        <xdr:cNvPr id="3" name="Left Arrow 2">
          <a:extLst>
            <a:ext uri="{FF2B5EF4-FFF2-40B4-BE49-F238E27FC236}">
              <a16:creationId xmlns:a16="http://schemas.microsoft.com/office/drawing/2014/main" id="{E64A29DD-1FA5-426B-9BF2-E9B1A5FF4B58}"/>
            </a:ext>
          </a:extLst>
        </xdr:cNvPr>
        <xdr:cNvSpPr/>
      </xdr:nvSpPr>
      <xdr:spPr>
        <a:xfrm rot="10800000">
          <a:off x="10079716950" y="371475"/>
          <a:ext cx="1038225" cy="1238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2</xdr:col>
      <xdr:colOff>342900</xdr:colOff>
      <xdr:row>2</xdr:row>
      <xdr:rowOff>371475</xdr:rowOff>
    </xdr:from>
    <xdr:to>
      <xdr:col>2</xdr:col>
      <xdr:colOff>1381125</xdr:colOff>
      <xdr:row>2</xdr:row>
      <xdr:rowOff>609600</xdr:rowOff>
    </xdr:to>
    <xdr:sp macro="" textlink="">
      <xdr:nvSpPr>
        <xdr:cNvPr id="4" name="Left Arrow 3">
          <a:extLst>
            <a:ext uri="{FF2B5EF4-FFF2-40B4-BE49-F238E27FC236}">
              <a16:creationId xmlns:a16="http://schemas.microsoft.com/office/drawing/2014/main" id="{3832AA43-59F1-4AB6-A797-1B486609327A}"/>
            </a:ext>
          </a:extLst>
        </xdr:cNvPr>
        <xdr:cNvSpPr/>
      </xdr:nvSpPr>
      <xdr:spPr>
        <a:xfrm rot="10800000">
          <a:off x="10079716950" y="866775"/>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0</xdr:col>
      <xdr:colOff>342900</xdr:colOff>
      <xdr:row>2</xdr:row>
      <xdr:rowOff>371475</xdr:rowOff>
    </xdr:from>
    <xdr:to>
      <xdr:col>0</xdr:col>
      <xdr:colOff>1381125</xdr:colOff>
      <xdr:row>2</xdr:row>
      <xdr:rowOff>609600</xdr:rowOff>
    </xdr:to>
    <xdr:sp macro="" textlink="">
      <xdr:nvSpPr>
        <xdr:cNvPr id="5" name="Left Arrow 4">
          <a:extLst>
            <a:ext uri="{FF2B5EF4-FFF2-40B4-BE49-F238E27FC236}">
              <a16:creationId xmlns:a16="http://schemas.microsoft.com/office/drawing/2014/main" id="{164D86E1-154D-4279-8994-B34F70DC4571}"/>
            </a:ext>
          </a:extLst>
        </xdr:cNvPr>
        <xdr:cNvSpPr/>
      </xdr:nvSpPr>
      <xdr:spPr>
        <a:xfrm>
          <a:off x="10083345975" y="866775"/>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342900</xdr:colOff>
      <xdr:row>0</xdr:row>
      <xdr:rowOff>371475</xdr:rowOff>
    </xdr:from>
    <xdr:to>
      <xdr:col>0</xdr:col>
      <xdr:colOff>1381125</xdr:colOff>
      <xdr:row>0</xdr:row>
      <xdr:rowOff>609600</xdr:rowOff>
    </xdr:to>
    <xdr:sp macro="" textlink="">
      <xdr:nvSpPr>
        <xdr:cNvPr id="2" name="Left Arrow 1">
          <a:extLst>
            <a:ext uri="{FF2B5EF4-FFF2-40B4-BE49-F238E27FC236}">
              <a16:creationId xmlns:a16="http://schemas.microsoft.com/office/drawing/2014/main" id="{00000000-0008-0000-0700-000002000000}"/>
            </a:ext>
          </a:extLst>
        </xdr:cNvPr>
        <xdr:cNvSpPr/>
      </xdr:nvSpPr>
      <xdr:spPr>
        <a:xfrm>
          <a:off x="10077745275" y="371475"/>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2</xdr:col>
      <xdr:colOff>342900</xdr:colOff>
      <xdr:row>0</xdr:row>
      <xdr:rowOff>371475</xdr:rowOff>
    </xdr:from>
    <xdr:to>
      <xdr:col>2</xdr:col>
      <xdr:colOff>1381125</xdr:colOff>
      <xdr:row>0</xdr:row>
      <xdr:rowOff>609600</xdr:rowOff>
    </xdr:to>
    <xdr:sp macro="" textlink="">
      <xdr:nvSpPr>
        <xdr:cNvPr id="3" name="Left Arrow 2">
          <a:extLst>
            <a:ext uri="{FF2B5EF4-FFF2-40B4-BE49-F238E27FC236}">
              <a16:creationId xmlns:a16="http://schemas.microsoft.com/office/drawing/2014/main" id="{00000000-0008-0000-0700-000003000000}"/>
            </a:ext>
          </a:extLst>
        </xdr:cNvPr>
        <xdr:cNvSpPr/>
      </xdr:nvSpPr>
      <xdr:spPr>
        <a:xfrm rot="10800000">
          <a:off x="10074259125" y="371475"/>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2</xdr:col>
      <xdr:colOff>342900</xdr:colOff>
      <xdr:row>1</xdr:row>
      <xdr:rowOff>371475</xdr:rowOff>
    </xdr:from>
    <xdr:to>
      <xdr:col>2</xdr:col>
      <xdr:colOff>1381125</xdr:colOff>
      <xdr:row>1</xdr:row>
      <xdr:rowOff>609600</xdr:rowOff>
    </xdr:to>
    <xdr:sp macro="" textlink="">
      <xdr:nvSpPr>
        <xdr:cNvPr id="4" name="Left Arrow 3">
          <a:extLst>
            <a:ext uri="{FF2B5EF4-FFF2-40B4-BE49-F238E27FC236}">
              <a16:creationId xmlns:a16="http://schemas.microsoft.com/office/drawing/2014/main" id="{00000000-0008-0000-0700-000004000000}"/>
            </a:ext>
          </a:extLst>
        </xdr:cNvPr>
        <xdr:cNvSpPr/>
      </xdr:nvSpPr>
      <xdr:spPr>
        <a:xfrm rot="10800000">
          <a:off x="10074259125" y="1066800"/>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0</xdr:col>
      <xdr:colOff>342900</xdr:colOff>
      <xdr:row>1</xdr:row>
      <xdr:rowOff>371475</xdr:rowOff>
    </xdr:from>
    <xdr:to>
      <xdr:col>0</xdr:col>
      <xdr:colOff>1381125</xdr:colOff>
      <xdr:row>1</xdr:row>
      <xdr:rowOff>609600</xdr:rowOff>
    </xdr:to>
    <xdr:sp macro="" textlink="">
      <xdr:nvSpPr>
        <xdr:cNvPr id="5" name="Left Arrow 4">
          <a:extLst>
            <a:ext uri="{FF2B5EF4-FFF2-40B4-BE49-F238E27FC236}">
              <a16:creationId xmlns:a16="http://schemas.microsoft.com/office/drawing/2014/main" id="{00000000-0008-0000-0700-000005000000}"/>
            </a:ext>
          </a:extLst>
        </xdr:cNvPr>
        <xdr:cNvSpPr/>
      </xdr:nvSpPr>
      <xdr:spPr>
        <a:xfrm>
          <a:off x="10077745275" y="1066800"/>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57150</xdr:colOff>
      <xdr:row>3</xdr:row>
      <xdr:rowOff>142875</xdr:rowOff>
    </xdr:from>
    <xdr:to>
      <xdr:col>8</xdr:col>
      <xdr:colOff>723900</xdr:colOff>
      <xdr:row>4</xdr:row>
      <xdr:rowOff>180975</xdr:rowOff>
    </xdr:to>
    <xdr:sp macro="" textlink="">
      <xdr:nvSpPr>
        <xdr:cNvPr id="2" name="Right Arrow 1">
          <a:extLst>
            <a:ext uri="{FF2B5EF4-FFF2-40B4-BE49-F238E27FC236}">
              <a16:creationId xmlns:a16="http://schemas.microsoft.com/office/drawing/2014/main" id="{00000000-0008-0000-0600-000002000000}"/>
            </a:ext>
          </a:extLst>
        </xdr:cNvPr>
        <xdr:cNvSpPr/>
      </xdr:nvSpPr>
      <xdr:spPr>
        <a:xfrm>
          <a:off x="10074744900" y="800100"/>
          <a:ext cx="666750" cy="257175"/>
        </a:xfrm>
        <a:prstGeom prst="rightArrow">
          <a:avLst/>
        </a:prstGeom>
      </xdr:spPr>
      <xdr:style>
        <a:lnRef idx="1">
          <a:schemeClr val="accent6"/>
        </a:lnRef>
        <a:fillRef idx="3">
          <a:schemeClr val="accent6"/>
        </a:fillRef>
        <a:effectRef idx="2">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1</xdr:col>
      <xdr:colOff>133350</xdr:colOff>
      <xdr:row>3</xdr:row>
      <xdr:rowOff>114300</xdr:rowOff>
    </xdr:from>
    <xdr:to>
      <xdr:col>1</xdr:col>
      <xdr:colOff>800100</xdr:colOff>
      <xdr:row>4</xdr:row>
      <xdr:rowOff>152400</xdr:rowOff>
    </xdr:to>
    <xdr:sp macro="" textlink="">
      <xdr:nvSpPr>
        <xdr:cNvPr id="4" name="Right Arrow 3">
          <a:extLst>
            <a:ext uri="{FF2B5EF4-FFF2-40B4-BE49-F238E27FC236}">
              <a16:creationId xmlns:a16="http://schemas.microsoft.com/office/drawing/2014/main" id="{00000000-0008-0000-0600-000004000000}"/>
            </a:ext>
          </a:extLst>
        </xdr:cNvPr>
        <xdr:cNvSpPr/>
      </xdr:nvSpPr>
      <xdr:spPr>
        <a:xfrm rot="10800000">
          <a:off x="10081621950" y="771525"/>
          <a:ext cx="666750" cy="257175"/>
        </a:xfrm>
        <a:prstGeom prst="rightArrow">
          <a:avLst/>
        </a:prstGeom>
      </xdr:spPr>
      <xdr:style>
        <a:lnRef idx="1">
          <a:schemeClr val="accent6"/>
        </a:lnRef>
        <a:fillRef idx="3">
          <a:schemeClr val="accent6"/>
        </a:fillRef>
        <a:effectRef idx="2">
          <a:schemeClr val="accent6"/>
        </a:effectRef>
        <a:fontRef idx="minor">
          <a:schemeClr val="lt1"/>
        </a:fontRef>
      </xdr:style>
      <xdr:txBody>
        <a:bodyPr vertOverflow="clip" horzOverflow="clip" rtlCol="0" anchor="t"/>
        <a:lstStyle/>
        <a:p>
          <a:pPr algn="r" rtl="1"/>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28575</xdr:colOff>
      <xdr:row>2</xdr:row>
      <xdr:rowOff>161925</xdr:rowOff>
    </xdr:from>
    <xdr:to>
      <xdr:col>9</xdr:col>
      <xdr:colOff>695325</xdr:colOff>
      <xdr:row>3</xdr:row>
      <xdr:rowOff>200025</xdr:rowOff>
    </xdr:to>
    <xdr:sp macro="" textlink="">
      <xdr:nvSpPr>
        <xdr:cNvPr id="2" name="Right Arrow 1">
          <a:extLst>
            <a:ext uri="{FF2B5EF4-FFF2-40B4-BE49-F238E27FC236}">
              <a16:creationId xmlns:a16="http://schemas.microsoft.com/office/drawing/2014/main" id="{00000000-0008-0000-0500-000002000000}"/>
            </a:ext>
          </a:extLst>
        </xdr:cNvPr>
        <xdr:cNvSpPr/>
      </xdr:nvSpPr>
      <xdr:spPr>
        <a:xfrm>
          <a:off x="9940442400" y="600075"/>
          <a:ext cx="666750" cy="257175"/>
        </a:xfrm>
        <a:prstGeom prst="righ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1</xdr:col>
      <xdr:colOff>133350</xdr:colOff>
      <xdr:row>3</xdr:row>
      <xdr:rowOff>104775</xdr:rowOff>
    </xdr:from>
    <xdr:to>
      <xdr:col>1</xdr:col>
      <xdr:colOff>800100</xdr:colOff>
      <xdr:row>4</xdr:row>
      <xdr:rowOff>142875</xdr:rowOff>
    </xdr:to>
    <xdr:sp macro="" textlink="">
      <xdr:nvSpPr>
        <xdr:cNvPr id="3" name="Right Arrow 2">
          <a:extLst>
            <a:ext uri="{FF2B5EF4-FFF2-40B4-BE49-F238E27FC236}">
              <a16:creationId xmlns:a16="http://schemas.microsoft.com/office/drawing/2014/main" id="{00000000-0008-0000-0500-000003000000}"/>
            </a:ext>
          </a:extLst>
        </xdr:cNvPr>
        <xdr:cNvSpPr/>
      </xdr:nvSpPr>
      <xdr:spPr>
        <a:xfrm rot="10800000">
          <a:off x="9947481375" y="762000"/>
          <a:ext cx="666750" cy="257175"/>
        </a:xfrm>
        <a:prstGeom prst="righ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b="1" cap="none" spc="0">
            <a:ln w="12700">
              <a:solidFill>
                <a:schemeClr val="accent3">
                  <a:lumMod val="50000"/>
                </a:schemeClr>
              </a:solidFill>
              <a:prstDash val="solid"/>
            </a:ln>
            <a:pattFill prst="narHorz">
              <a:fgClr>
                <a:schemeClr val="accent3"/>
              </a:fgClr>
              <a:bgClr>
                <a:schemeClr val="accent3">
                  <a:lumMod val="40000"/>
                  <a:lumOff val="60000"/>
                </a:schemeClr>
              </a:bgClr>
            </a:pattFill>
            <a:effectLst>
              <a:innerShdw blurRad="177800">
                <a:schemeClr val="accent3">
                  <a:lumMod val="50000"/>
                </a:schemeClr>
              </a:innerShdw>
            </a:effectLst>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facebook.com/groups/422412972327437"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www.facebook.com/groups/422412972327437"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acebook.com/groups/422412972327437"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acebook.com/groups/422412972327437"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N28"/>
  <sheetViews>
    <sheetView rightToLeft="1" topLeftCell="A7" zoomScale="90" zoomScaleNormal="90" workbookViewId="0">
      <selection activeCell="F19" sqref="F19"/>
    </sheetView>
  </sheetViews>
  <sheetFormatPr defaultRowHeight="15"/>
  <cols>
    <col min="2" max="2" width="16.42578125" customWidth="1"/>
    <col min="3" max="3" width="17.42578125" bestFit="1" customWidth="1"/>
    <col min="4" max="4" width="12.140625" bestFit="1" customWidth="1"/>
    <col min="15" max="15" width="7" customWidth="1"/>
  </cols>
  <sheetData>
    <row r="1" spans="1:14" ht="26.25" customHeight="1">
      <c r="A1" s="190" t="s">
        <v>110</v>
      </c>
      <c r="B1" s="190"/>
      <c r="C1" s="190"/>
      <c r="D1" s="190"/>
      <c r="I1" s="192" t="s">
        <v>160</v>
      </c>
      <c r="J1" s="192"/>
      <c r="K1" s="192"/>
      <c r="L1" s="192"/>
      <c r="M1" s="192"/>
    </row>
    <row r="2" spans="1:14" ht="15" customHeight="1">
      <c r="A2" s="190"/>
      <c r="B2" s="190"/>
      <c r="C2" s="190"/>
      <c r="D2" s="190"/>
      <c r="I2" s="192"/>
      <c r="J2" s="192"/>
      <c r="K2" s="192"/>
      <c r="L2" s="192"/>
      <c r="M2" s="192"/>
    </row>
    <row r="3" spans="1:14" ht="15" customHeight="1" thickBot="1">
      <c r="A3" s="190"/>
      <c r="B3" s="190"/>
      <c r="C3" s="190"/>
      <c r="D3" s="190"/>
    </row>
    <row r="4" spans="1:14" ht="28.5" customHeight="1" thickTop="1" thickBot="1">
      <c r="A4" s="70" t="s">
        <v>109</v>
      </c>
      <c r="B4" s="71">
        <v>50000</v>
      </c>
      <c r="C4" s="70" t="s">
        <v>101</v>
      </c>
      <c r="D4" s="72">
        <v>38807</v>
      </c>
      <c r="E4" s="196" t="s">
        <v>180</v>
      </c>
      <c r="F4" s="190"/>
      <c r="G4" s="190"/>
      <c r="I4" s="197" t="s">
        <v>192</v>
      </c>
      <c r="J4" s="197"/>
      <c r="K4" s="197"/>
      <c r="L4" s="197"/>
      <c r="M4" s="197"/>
    </row>
    <row r="5" spans="1:14" ht="46.5" customHeight="1" thickTop="1" thickBot="1">
      <c r="A5" s="73" t="s">
        <v>102</v>
      </c>
      <c r="B5" s="71">
        <f>B4-200</f>
        <v>49800</v>
      </c>
      <c r="C5" s="70" t="s">
        <v>103</v>
      </c>
      <c r="D5" s="72">
        <v>38808</v>
      </c>
      <c r="E5" s="196"/>
      <c r="F5" s="190"/>
      <c r="G5" s="190"/>
      <c r="I5" s="197"/>
      <c r="J5" s="197"/>
      <c r="K5" s="197"/>
      <c r="L5" s="197"/>
      <c r="M5" s="197"/>
    </row>
    <row r="6" spans="1:14" ht="39.75" thickTop="1" thickBot="1">
      <c r="A6" s="74" t="s">
        <v>104</v>
      </c>
      <c r="B6" s="75" t="s">
        <v>158</v>
      </c>
      <c r="C6" s="76" t="s">
        <v>105</v>
      </c>
      <c r="D6" s="76" t="s">
        <v>106</v>
      </c>
      <c r="E6" s="144"/>
      <c r="F6" s="145"/>
      <c r="G6" s="145"/>
    </row>
    <row r="7" spans="1:14" ht="16.5" thickTop="1" thickBot="1">
      <c r="A7" s="74">
        <v>2005</v>
      </c>
      <c r="B7" s="75">
        <v>0.12</v>
      </c>
      <c r="C7" s="76">
        <v>0</v>
      </c>
      <c r="D7" s="79">
        <f t="shared" ref="D7:D11" si="0">$B$5*C7/12*B7</f>
        <v>0</v>
      </c>
      <c r="I7" s="191" t="s">
        <v>157</v>
      </c>
      <c r="J7" s="191"/>
      <c r="K7" s="191"/>
      <c r="L7" s="191"/>
      <c r="M7" s="191"/>
    </row>
    <row r="8" spans="1:14" ht="16.5" thickTop="1" thickBot="1">
      <c r="A8" s="74">
        <f>+A7+1</f>
        <v>2006</v>
      </c>
      <c r="B8" s="75">
        <v>0.12</v>
      </c>
      <c r="C8" s="74">
        <v>9</v>
      </c>
      <c r="D8" s="79">
        <f>$B$5*C8/12*B8</f>
        <v>4482</v>
      </c>
      <c r="I8" s="191"/>
      <c r="J8" s="191"/>
      <c r="K8" s="191"/>
      <c r="L8" s="191"/>
      <c r="M8" s="191"/>
    </row>
    <row r="9" spans="1:14" ht="16.5" thickTop="1" thickBot="1">
      <c r="A9" s="74">
        <f t="shared" ref="A9:A25" si="1">+A8+1</f>
        <v>2007</v>
      </c>
      <c r="B9" s="75">
        <v>0.11</v>
      </c>
      <c r="C9" s="74">
        <v>12</v>
      </c>
      <c r="D9" s="79">
        <f t="shared" si="0"/>
        <v>5478</v>
      </c>
      <c r="I9" s="191"/>
      <c r="J9" s="191"/>
      <c r="K9" s="191"/>
      <c r="L9" s="191"/>
      <c r="M9" s="191"/>
    </row>
    <row r="10" spans="1:14" ht="16.5" thickTop="1" thickBot="1">
      <c r="A10" s="74">
        <f t="shared" si="1"/>
        <v>2008</v>
      </c>
      <c r="B10" s="75">
        <v>0.11</v>
      </c>
      <c r="C10" s="74">
        <v>12</v>
      </c>
      <c r="D10" s="79">
        <f t="shared" si="0"/>
        <v>5478</v>
      </c>
      <c r="I10" s="191"/>
      <c r="J10" s="191"/>
      <c r="K10" s="191"/>
      <c r="L10" s="191"/>
      <c r="M10" s="191"/>
    </row>
    <row r="11" spans="1:14" ht="16.5" customHeight="1" thickTop="1" thickBot="1">
      <c r="A11" s="74">
        <f t="shared" si="1"/>
        <v>2009</v>
      </c>
      <c r="B11" s="77">
        <v>0.13500000000000001</v>
      </c>
      <c r="C11" s="74">
        <v>12</v>
      </c>
      <c r="D11" s="79">
        <f t="shared" si="0"/>
        <v>6723</v>
      </c>
      <c r="I11" s="191"/>
      <c r="J11" s="191"/>
      <c r="K11" s="191"/>
      <c r="L11" s="191"/>
      <c r="M11" s="191"/>
    </row>
    <row r="12" spans="1:14" ht="16.5" customHeight="1" thickTop="1" thickBot="1">
      <c r="A12" s="74">
        <f t="shared" si="1"/>
        <v>2010</v>
      </c>
      <c r="B12" s="77">
        <v>0.105</v>
      </c>
      <c r="C12" s="74">
        <v>12</v>
      </c>
      <c r="D12" s="79">
        <f>$B$5*C12/12*B12</f>
        <v>5229</v>
      </c>
      <c r="I12" s="191"/>
      <c r="J12" s="191"/>
      <c r="K12" s="191"/>
      <c r="L12" s="191"/>
      <c r="M12" s="191"/>
    </row>
    <row r="13" spans="1:14" ht="16.5" thickTop="1" thickBot="1">
      <c r="A13" s="74">
        <f t="shared" si="1"/>
        <v>2011</v>
      </c>
      <c r="B13" s="77">
        <v>0.105</v>
      </c>
      <c r="C13" s="74">
        <v>12</v>
      </c>
      <c r="D13" s="79">
        <f t="shared" ref="D13:D25" si="2">$B$5*C13/12*B13</f>
        <v>5229</v>
      </c>
      <c r="I13" s="191"/>
      <c r="J13" s="191"/>
      <c r="K13" s="191"/>
      <c r="L13" s="191"/>
      <c r="M13" s="191"/>
    </row>
    <row r="14" spans="1:14" ht="16.5" thickTop="1" thickBot="1">
      <c r="A14" s="74">
        <f t="shared" si="1"/>
        <v>2012</v>
      </c>
      <c r="B14" s="77">
        <v>0.115</v>
      </c>
      <c r="C14" s="74">
        <v>12</v>
      </c>
      <c r="D14" s="79">
        <f t="shared" si="2"/>
        <v>5727</v>
      </c>
    </row>
    <row r="15" spans="1:14" ht="16.5" thickTop="1" thickBot="1">
      <c r="A15" s="74">
        <f t="shared" si="1"/>
        <v>2013</v>
      </c>
      <c r="B15" s="77">
        <v>0.115</v>
      </c>
      <c r="C15" s="74">
        <v>12</v>
      </c>
      <c r="D15" s="79">
        <f t="shared" si="2"/>
        <v>5727</v>
      </c>
      <c r="H15" s="194" t="s">
        <v>177</v>
      </c>
      <c r="I15" s="195"/>
      <c r="J15" s="195"/>
      <c r="K15" s="195"/>
      <c r="L15" s="195"/>
      <c r="M15" s="195"/>
      <c r="N15" s="195"/>
    </row>
    <row r="16" spans="1:14" ht="16.5" thickTop="1" thickBot="1">
      <c r="A16" s="74">
        <f t="shared" si="1"/>
        <v>2014</v>
      </c>
      <c r="B16" s="77">
        <v>0.1075</v>
      </c>
      <c r="C16" s="74">
        <v>12</v>
      </c>
      <c r="D16" s="79">
        <f t="shared" si="2"/>
        <v>5353.5</v>
      </c>
      <c r="H16" s="195"/>
      <c r="I16" s="195"/>
      <c r="J16" s="195"/>
      <c r="K16" s="195"/>
      <c r="L16" s="195"/>
      <c r="M16" s="195"/>
      <c r="N16" s="195"/>
    </row>
    <row r="17" spans="1:14" ht="16.5" thickTop="1" thickBot="1">
      <c r="A17" s="74">
        <f t="shared" si="1"/>
        <v>2015</v>
      </c>
      <c r="B17" s="77">
        <v>0.11749999999999999</v>
      </c>
      <c r="C17" s="74">
        <v>12</v>
      </c>
      <c r="D17" s="79">
        <f t="shared" si="2"/>
        <v>5851.5</v>
      </c>
      <c r="H17" s="195"/>
      <c r="I17" s="195"/>
      <c r="J17" s="195"/>
      <c r="K17" s="195"/>
      <c r="L17" s="195"/>
      <c r="M17" s="195"/>
      <c r="N17" s="195"/>
    </row>
    <row r="18" spans="1:14" ht="20.25" thickTop="1" thickBot="1">
      <c r="A18" s="74">
        <f t="shared" si="1"/>
        <v>2016</v>
      </c>
      <c r="B18" s="77">
        <v>0.11749999999999999</v>
      </c>
      <c r="C18" s="74">
        <v>12</v>
      </c>
      <c r="D18" s="79">
        <f t="shared" si="2"/>
        <v>5851.5</v>
      </c>
      <c r="H18" s="193" t="s">
        <v>176</v>
      </c>
      <c r="I18" s="193"/>
      <c r="J18" s="193"/>
      <c r="K18" s="193"/>
      <c r="L18" s="193"/>
      <c r="M18" s="193"/>
      <c r="N18" s="193"/>
    </row>
    <row r="19" spans="1:14" ht="16.5" thickTop="1" thickBot="1">
      <c r="A19" s="74">
        <f t="shared" si="1"/>
        <v>2017</v>
      </c>
      <c r="B19" s="77">
        <v>0.17249999999999999</v>
      </c>
      <c r="C19" s="74">
        <v>12</v>
      </c>
      <c r="D19" s="79">
        <f t="shared" si="2"/>
        <v>8590.5</v>
      </c>
    </row>
    <row r="20" spans="1:14" ht="16.5" thickTop="1" thickBot="1">
      <c r="A20" s="74">
        <f t="shared" si="1"/>
        <v>2018</v>
      </c>
      <c r="B20" s="77">
        <v>0.21249999999999999</v>
      </c>
      <c r="C20" s="74">
        <v>12</v>
      </c>
      <c r="D20" s="79">
        <f t="shared" si="2"/>
        <v>10582.5</v>
      </c>
    </row>
    <row r="21" spans="1:14" ht="16.5" thickTop="1" thickBot="1">
      <c r="A21" s="74">
        <f t="shared" si="1"/>
        <v>2019</v>
      </c>
      <c r="B21" s="77">
        <v>0.1925</v>
      </c>
      <c r="C21" s="74">
        <v>12</v>
      </c>
      <c r="D21" s="79">
        <f t="shared" si="2"/>
        <v>9586.5</v>
      </c>
    </row>
    <row r="22" spans="1:14" ht="16.5" thickTop="1" thickBot="1">
      <c r="A22" s="74">
        <f t="shared" si="1"/>
        <v>2020</v>
      </c>
      <c r="B22" s="77">
        <v>0.14749999999999999</v>
      </c>
      <c r="C22" s="74">
        <v>12</v>
      </c>
      <c r="D22" s="79">
        <f t="shared" si="2"/>
        <v>7345.5</v>
      </c>
    </row>
    <row r="23" spans="1:14" ht="16.5" thickTop="1" thickBot="1">
      <c r="A23" s="74">
        <f t="shared" si="1"/>
        <v>2021</v>
      </c>
      <c r="B23" s="77">
        <v>0.1075</v>
      </c>
      <c r="C23" s="74">
        <v>12</v>
      </c>
      <c r="D23" s="79">
        <f t="shared" si="2"/>
        <v>5353.5</v>
      </c>
      <c r="H23" s="145"/>
    </row>
    <row r="24" spans="1:14" ht="16.5" thickTop="1" thickBot="1">
      <c r="A24" s="74">
        <f t="shared" si="1"/>
        <v>2022</v>
      </c>
      <c r="B24" s="77">
        <v>0.1075</v>
      </c>
      <c r="C24" s="74">
        <v>12</v>
      </c>
      <c r="D24" s="79">
        <f t="shared" si="2"/>
        <v>5353.5</v>
      </c>
    </row>
    <row r="25" spans="1:14" ht="16.5" thickTop="1" thickBot="1">
      <c r="A25" s="74">
        <f t="shared" si="1"/>
        <v>2023</v>
      </c>
      <c r="B25" s="77">
        <v>0.1875</v>
      </c>
      <c r="C25" s="78">
        <v>10</v>
      </c>
      <c r="D25" s="79">
        <f t="shared" si="2"/>
        <v>7781.25</v>
      </c>
      <c r="E25" s="198" t="s">
        <v>161</v>
      </c>
      <c r="F25" s="199"/>
      <c r="G25" s="199"/>
      <c r="H25" s="199"/>
    </row>
    <row r="26" spans="1:14" ht="16.5" customHeight="1" thickTop="1" thickBot="1">
      <c r="A26" s="187" t="s">
        <v>107</v>
      </c>
      <c r="B26" s="188"/>
      <c r="C26" s="189"/>
      <c r="D26" s="80">
        <f>SUM(D7:D25)</f>
        <v>115722.75</v>
      </c>
      <c r="E26" s="144"/>
      <c r="F26" s="145"/>
      <c r="G26" s="145"/>
    </row>
    <row r="27" spans="1:14" ht="16.5" thickTop="1" thickBot="1">
      <c r="A27" s="187" t="s">
        <v>108</v>
      </c>
      <c r="B27" s="188"/>
      <c r="C27" s="189"/>
      <c r="D27" s="80">
        <f>D26+B4</f>
        <v>165722.75</v>
      </c>
      <c r="E27" s="144"/>
      <c r="F27" s="145"/>
      <c r="G27" s="145"/>
    </row>
    <row r="28" spans="1:14" ht="15.75" thickTop="1"/>
  </sheetData>
  <mergeCells count="10">
    <mergeCell ref="A26:C26"/>
    <mergeCell ref="A27:C27"/>
    <mergeCell ref="A1:D3"/>
    <mergeCell ref="I7:M13"/>
    <mergeCell ref="I1:M2"/>
    <mergeCell ref="H18:N18"/>
    <mergeCell ref="H15:N17"/>
    <mergeCell ref="E4:G5"/>
    <mergeCell ref="I4:M5"/>
    <mergeCell ref="E25:H25"/>
  </mergeCells>
  <hyperlinks>
    <hyperlink ref="H18" r:id="rId1" xr:uid="{17C77AA3-0BC3-4CFE-AA4C-8D5A40033934}"/>
  </hyperlinks>
  <pageMargins left="0.7" right="0.7" top="0.75" bottom="0.75" header="0.3" footer="0.3"/>
  <pageSetup paperSize="9" orientation="portrait"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8"/>
  <sheetViews>
    <sheetView rightToLeft="1" workbookViewId="0">
      <selection activeCell="C2" sqref="C2"/>
    </sheetView>
  </sheetViews>
  <sheetFormatPr defaultRowHeight="15.75"/>
  <cols>
    <col min="1" max="1" width="14.7109375" style="27" bestFit="1" customWidth="1"/>
    <col min="2" max="2" width="16" style="27" customWidth="1"/>
    <col min="3" max="3" width="14.28515625" style="27" bestFit="1" customWidth="1"/>
    <col min="4" max="5" width="10.140625" style="27" bestFit="1" customWidth="1"/>
    <col min="6" max="6" width="29.140625" style="27" bestFit="1" customWidth="1"/>
    <col min="7" max="7" width="14" style="27" customWidth="1"/>
    <col min="8" max="8" width="4.85546875" style="27" bestFit="1" customWidth="1"/>
    <col min="9" max="9" width="8.5703125" style="27" customWidth="1"/>
    <col min="10" max="10" width="13.85546875" style="27" bestFit="1" customWidth="1"/>
    <col min="11" max="11" width="7.85546875" style="27" bestFit="1" customWidth="1"/>
    <col min="12" max="12" width="5.85546875" style="27" bestFit="1" customWidth="1"/>
    <col min="13" max="14" width="11.5703125" style="27" bestFit="1" customWidth="1"/>
    <col min="15" max="15" width="6.85546875" style="27" bestFit="1" customWidth="1"/>
    <col min="16" max="16" width="4.42578125" style="27" bestFit="1" customWidth="1"/>
    <col min="17" max="18" width="9" style="27"/>
    <col min="19" max="19" width="20.42578125" style="27" bestFit="1" customWidth="1"/>
    <col min="20" max="20" width="9.85546875" style="27" bestFit="1" customWidth="1"/>
    <col min="21" max="253" width="9" style="27"/>
    <col min="254" max="254" width="14.7109375" style="27" bestFit="1" customWidth="1"/>
    <col min="255" max="255" width="16" style="27" customWidth="1"/>
    <col min="256" max="256" width="12.85546875" style="27" bestFit="1" customWidth="1"/>
    <col min="257" max="258" width="10.140625" style="27" bestFit="1" customWidth="1"/>
    <col min="259" max="259" width="29.140625" style="27" bestFit="1" customWidth="1"/>
    <col min="260" max="260" width="14" style="27" customWidth="1"/>
    <col min="261" max="261" width="4.85546875" style="27" bestFit="1" customWidth="1"/>
    <col min="262" max="262" width="9.42578125" style="27" customWidth="1"/>
    <col min="263" max="263" width="9" style="27"/>
    <col min="264" max="264" width="7.85546875" style="27" bestFit="1" customWidth="1"/>
    <col min="265" max="265" width="5.85546875" style="27" bestFit="1" customWidth="1"/>
    <col min="266" max="266" width="6.140625" style="27" bestFit="1" customWidth="1"/>
    <col min="267" max="267" width="4.42578125" style="27" bestFit="1" customWidth="1"/>
    <col min="268" max="268" width="6.85546875" style="27" bestFit="1" customWidth="1"/>
    <col min="269" max="269" width="4.42578125" style="27" bestFit="1" customWidth="1"/>
    <col min="270" max="270" width="8.42578125" style="27" bestFit="1" customWidth="1"/>
    <col min="271" max="271" width="1.85546875" style="27" bestFit="1" customWidth="1"/>
    <col min="272" max="272" width="9.85546875" style="27" bestFit="1" customWidth="1"/>
    <col min="273" max="274" width="9" style="27"/>
    <col min="275" max="275" width="20.42578125" style="27" bestFit="1" customWidth="1"/>
    <col min="276" max="276" width="9.85546875" style="27" bestFit="1" customWidth="1"/>
    <col min="277" max="509" width="9" style="27"/>
    <col min="510" max="510" width="14.7109375" style="27" bestFit="1" customWidth="1"/>
    <col min="511" max="511" width="16" style="27" customWidth="1"/>
    <col min="512" max="512" width="12.85546875" style="27" bestFit="1" customWidth="1"/>
    <col min="513" max="514" width="10.140625" style="27" bestFit="1" customWidth="1"/>
    <col min="515" max="515" width="29.140625" style="27" bestFit="1" customWidth="1"/>
    <col min="516" max="516" width="14" style="27" customWidth="1"/>
    <col min="517" max="517" width="4.85546875" style="27" bestFit="1" customWidth="1"/>
    <col min="518" max="518" width="9.42578125" style="27" customWidth="1"/>
    <col min="519" max="519" width="9" style="27"/>
    <col min="520" max="520" width="7.85546875" style="27" bestFit="1" customWidth="1"/>
    <col min="521" max="521" width="5.85546875" style="27" bestFit="1" customWidth="1"/>
    <col min="522" max="522" width="6.140625" style="27" bestFit="1" customWidth="1"/>
    <col min="523" max="523" width="4.42578125" style="27" bestFit="1" customWidth="1"/>
    <col min="524" max="524" width="6.85546875" style="27" bestFit="1" customWidth="1"/>
    <col min="525" max="525" width="4.42578125" style="27" bestFit="1" customWidth="1"/>
    <col min="526" max="526" width="8.42578125" style="27" bestFit="1" customWidth="1"/>
    <col min="527" max="527" width="1.85546875" style="27" bestFit="1" customWidth="1"/>
    <col min="528" max="528" width="9.85546875" style="27" bestFit="1" customWidth="1"/>
    <col min="529" max="530" width="9" style="27"/>
    <col min="531" max="531" width="20.42578125" style="27" bestFit="1" customWidth="1"/>
    <col min="532" max="532" width="9.85546875" style="27" bestFit="1" customWidth="1"/>
    <col min="533" max="765" width="9" style="27"/>
    <col min="766" max="766" width="14.7109375" style="27" bestFit="1" customWidth="1"/>
    <col min="767" max="767" width="16" style="27" customWidth="1"/>
    <col min="768" max="768" width="12.85546875" style="27" bestFit="1" customWidth="1"/>
    <col min="769" max="770" width="10.140625" style="27" bestFit="1" customWidth="1"/>
    <col min="771" max="771" width="29.140625" style="27" bestFit="1" customWidth="1"/>
    <col min="772" max="772" width="14" style="27" customWidth="1"/>
    <col min="773" max="773" width="4.85546875" style="27" bestFit="1" customWidth="1"/>
    <col min="774" max="774" width="9.42578125" style="27" customWidth="1"/>
    <col min="775" max="775" width="9" style="27"/>
    <col min="776" max="776" width="7.85546875" style="27" bestFit="1" customWidth="1"/>
    <col min="777" max="777" width="5.85546875" style="27" bestFit="1" customWidth="1"/>
    <col min="778" max="778" width="6.140625" style="27" bestFit="1" customWidth="1"/>
    <col min="779" max="779" width="4.42578125" style="27" bestFit="1" customWidth="1"/>
    <col min="780" max="780" width="6.85546875" style="27" bestFit="1" customWidth="1"/>
    <col min="781" max="781" width="4.42578125" style="27" bestFit="1" customWidth="1"/>
    <col min="782" max="782" width="8.42578125" style="27" bestFit="1" customWidth="1"/>
    <col min="783" max="783" width="1.85546875" style="27" bestFit="1" customWidth="1"/>
    <col min="784" max="784" width="9.85546875" style="27" bestFit="1" customWidth="1"/>
    <col min="785" max="786" width="9" style="27"/>
    <col min="787" max="787" width="20.42578125" style="27" bestFit="1" customWidth="1"/>
    <col min="788" max="788" width="9.85546875" style="27" bestFit="1" customWidth="1"/>
    <col min="789" max="1021" width="9" style="27"/>
    <col min="1022" max="1022" width="14.7109375" style="27" bestFit="1" customWidth="1"/>
    <col min="1023" max="1023" width="16" style="27" customWidth="1"/>
    <col min="1024" max="1024" width="12.85546875" style="27" bestFit="1" customWidth="1"/>
    <col min="1025" max="1026" width="10.140625" style="27" bestFit="1" customWidth="1"/>
    <col min="1027" max="1027" width="29.140625" style="27" bestFit="1" customWidth="1"/>
    <col min="1028" max="1028" width="14" style="27" customWidth="1"/>
    <col min="1029" max="1029" width="4.85546875" style="27" bestFit="1" customWidth="1"/>
    <col min="1030" max="1030" width="9.42578125" style="27" customWidth="1"/>
    <col min="1031" max="1031" width="9" style="27"/>
    <col min="1032" max="1032" width="7.85546875" style="27" bestFit="1" customWidth="1"/>
    <col min="1033" max="1033" width="5.85546875" style="27" bestFit="1" customWidth="1"/>
    <col min="1034" max="1034" width="6.140625" style="27" bestFit="1" customWidth="1"/>
    <col min="1035" max="1035" width="4.42578125" style="27" bestFit="1" customWidth="1"/>
    <col min="1036" max="1036" width="6.85546875" style="27" bestFit="1" customWidth="1"/>
    <col min="1037" max="1037" width="4.42578125" style="27" bestFit="1" customWidth="1"/>
    <col min="1038" max="1038" width="8.42578125" style="27" bestFit="1" customWidth="1"/>
    <col min="1039" max="1039" width="1.85546875" style="27" bestFit="1" customWidth="1"/>
    <col min="1040" max="1040" width="9.85546875" style="27" bestFit="1" customWidth="1"/>
    <col min="1041" max="1042" width="9" style="27"/>
    <col min="1043" max="1043" width="20.42578125" style="27" bestFit="1" customWidth="1"/>
    <col min="1044" max="1044" width="9.85546875" style="27" bestFit="1" customWidth="1"/>
    <col min="1045" max="1277" width="9" style="27"/>
    <col min="1278" max="1278" width="14.7109375" style="27" bestFit="1" customWidth="1"/>
    <col min="1279" max="1279" width="16" style="27" customWidth="1"/>
    <col min="1280" max="1280" width="12.85546875" style="27" bestFit="1" customWidth="1"/>
    <col min="1281" max="1282" width="10.140625" style="27" bestFit="1" customWidth="1"/>
    <col min="1283" max="1283" width="29.140625" style="27" bestFit="1" customWidth="1"/>
    <col min="1284" max="1284" width="14" style="27" customWidth="1"/>
    <col min="1285" max="1285" width="4.85546875" style="27" bestFit="1" customWidth="1"/>
    <col min="1286" max="1286" width="9.42578125" style="27" customWidth="1"/>
    <col min="1287" max="1287" width="9" style="27"/>
    <col min="1288" max="1288" width="7.85546875" style="27" bestFit="1" customWidth="1"/>
    <col min="1289" max="1289" width="5.85546875" style="27" bestFit="1" customWidth="1"/>
    <col min="1290" max="1290" width="6.140625" style="27" bestFit="1" customWidth="1"/>
    <col min="1291" max="1291" width="4.42578125" style="27" bestFit="1" customWidth="1"/>
    <col min="1292" max="1292" width="6.85546875" style="27" bestFit="1" customWidth="1"/>
    <col min="1293" max="1293" width="4.42578125" style="27" bestFit="1" customWidth="1"/>
    <col min="1294" max="1294" width="8.42578125" style="27" bestFit="1" customWidth="1"/>
    <col min="1295" max="1295" width="1.85546875" style="27" bestFit="1" customWidth="1"/>
    <col min="1296" max="1296" width="9.85546875" style="27" bestFit="1" customWidth="1"/>
    <col min="1297" max="1298" width="9" style="27"/>
    <col min="1299" max="1299" width="20.42578125" style="27" bestFit="1" customWidth="1"/>
    <col min="1300" max="1300" width="9.85546875" style="27" bestFit="1" customWidth="1"/>
    <col min="1301" max="1533" width="9" style="27"/>
    <col min="1534" max="1534" width="14.7109375" style="27" bestFit="1" customWidth="1"/>
    <col min="1535" max="1535" width="16" style="27" customWidth="1"/>
    <col min="1536" max="1536" width="12.85546875" style="27" bestFit="1" customWidth="1"/>
    <col min="1537" max="1538" width="10.140625" style="27" bestFit="1" customWidth="1"/>
    <col min="1539" max="1539" width="29.140625" style="27" bestFit="1" customWidth="1"/>
    <col min="1540" max="1540" width="14" style="27" customWidth="1"/>
    <col min="1541" max="1541" width="4.85546875" style="27" bestFit="1" customWidth="1"/>
    <col min="1542" max="1542" width="9.42578125" style="27" customWidth="1"/>
    <col min="1543" max="1543" width="9" style="27"/>
    <col min="1544" max="1544" width="7.85546875" style="27" bestFit="1" customWidth="1"/>
    <col min="1545" max="1545" width="5.85546875" style="27" bestFit="1" customWidth="1"/>
    <col min="1546" max="1546" width="6.140625" style="27" bestFit="1" customWidth="1"/>
    <col min="1547" max="1547" width="4.42578125" style="27" bestFit="1" customWidth="1"/>
    <col min="1548" max="1548" width="6.85546875" style="27" bestFit="1" customWidth="1"/>
    <col min="1549" max="1549" width="4.42578125" style="27" bestFit="1" customWidth="1"/>
    <col min="1550" max="1550" width="8.42578125" style="27" bestFit="1" customWidth="1"/>
    <col min="1551" max="1551" width="1.85546875" style="27" bestFit="1" customWidth="1"/>
    <col min="1552" max="1552" width="9.85546875" style="27" bestFit="1" customWidth="1"/>
    <col min="1553" max="1554" width="9" style="27"/>
    <col min="1555" max="1555" width="20.42578125" style="27" bestFit="1" customWidth="1"/>
    <col min="1556" max="1556" width="9.85546875" style="27" bestFit="1" customWidth="1"/>
    <col min="1557" max="1789" width="9" style="27"/>
    <col min="1790" max="1790" width="14.7109375" style="27" bestFit="1" customWidth="1"/>
    <col min="1791" max="1791" width="16" style="27" customWidth="1"/>
    <col min="1792" max="1792" width="12.85546875" style="27" bestFit="1" customWidth="1"/>
    <col min="1793" max="1794" width="10.140625" style="27" bestFit="1" customWidth="1"/>
    <col min="1795" max="1795" width="29.140625" style="27" bestFit="1" customWidth="1"/>
    <col min="1796" max="1796" width="14" style="27" customWidth="1"/>
    <col min="1797" max="1797" width="4.85546875" style="27" bestFit="1" customWidth="1"/>
    <col min="1798" max="1798" width="9.42578125" style="27" customWidth="1"/>
    <col min="1799" max="1799" width="9" style="27"/>
    <col min="1800" max="1800" width="7.85546875" style="27" bestFit="1" customWidth="1"/>
    <col min="1801" max="1801" width="5.85546875" style="27" bestFit="1" customWidth="1"/>
    <col min="1802" max="1802" width="6.140625" style="27" bestFit="1" customWidth="1"/>
    <col min="1803" max="1803" width="4.42578125" style="27" bestFit="1" customWidth="1"/>
    <col min="1804" max="1804" width="6.85546875" style="27" bestFit="1" customWidth="1"/>
    <col min="1805" max="1805" width="4.42578125" style="27" bestFit="1" customWidth="1"/>
    <col min="1806" max="1806" width="8.42578125" style="27" bestFit="1" customWidth="1"/>
    <col min="1807" max="1807" width="1.85546875" style="27" bestFit="1" customWidth="1"/>
    <col min="1808" max="1808" width="9.85546875" style="27" bestFit="1" customWidth="1"/>
    <col min="1809" max="1810" width="9" style="27"/>
    <col min="1811" max="1811" width="20.42578125" style="27" bestFit="1" customWidth="1"/>
    <col min="1812" max="1812" width="9.85546875" style="27" bestFit="1" customWidth="1"/>
    <col min="1813" max="2045" width="9" style="27"/>
    <col min="2046" max="2046" width="14.7109375" style="27" bestFit="1" customWidth="1"/>
    <col min="2047" max="2047" width="16" style="27" customWidth="1"/>
    <col min="2048" max="2048" width="12.85546875" style="27" bestFit="1" customWidth="1"/>
    <col min="2049" max="2050" width="10.140625" style="27" bestFit="1" customWidth="1"/>
    <col min="2051" max="2051" width="29.140625" style="27" bestFit="1" customWidth="1"/>
    <col min="2052" max="2052" width="14" style="27" customWidth="1"/>
    <col min="2053" max="2053" width="4.85546875" style="27" bestFit="1" customWidth="1"/>
    <col min="2054" max="2054" width="9.42578125" style="27" customWidth="1"/>
    <col min="2055" max="2055" width="9" style="27"/>
    <col min="2056" max="2056" width="7.85546875" style="27" bestFit="1" customWidth="1"/>
    <col min="2057" max="2057" width="5.85546875" style="27" bestFit="1" customWidth="1"/>
    <col min="2058" max="2058" width="6.140625" style="27" bestFit="1" customWidth="1"/>
    <col min="2059" max="2059" width="4.42578125" style="27" bestFit="1" customWidth="1"/>
    <col min="2060" max="2060" width="6.85546875" style="27" bestFit="1" customWidth="1"/>
    <col min="2061" max="2061" width="4.42578125" style="27" bestFit="1" customWidth="1"/>
    <col min="2062" max="2062" width="8.42578125" style="27" bestFit="1" customWidth="1"/>
    <col min="2063" max="2063" width="1.85546875" style="27" bestFit="1" customWidth="1"/>
    <col min="2064" max="2064" width="9.85546875" style="27" bestFit="1" customWidth="1"/>
    <col min="2065" max="2066" width="9" style="27"/>
    <col min="2067" max="2067" width="20.42578125" style="27" bestFit="1" customWidth="1"/>
    <col min="2068" max="2068" width="9.85546875" style="27" bestFit="1" customWidth="1"/>
    <col min="2069" max="2301" width="9" style="27"/>
    <col min="2302" max="2302" width="14.7109375" style="27" bestFit="1" customWidth="1"/>
    <col min="2303" max="2303" width="16" style="27" customWidth="1"/>
    <col min="2304" max="2304" width="12.85546875" style="27" bestFit="1" customWidth="1"/>
    <col min="2305" max="2306" width="10.140625" style="27" bestFit="1" customWidth="1"/>
    <col min="2307" max="2307" width="29.140625" style="27" bestFit="1" customWidth="1"/>
    <col min="2308" max="2308" width="14" style="27" customWidth="1"/>
    <col min="2309" max="2309" width="4.85546875" style="27" bestFit="1" customWidth="1"/>
    <col min="2310" max="2310" width="9.42578125" style="27" customWidth="1"/>
    <col min="2311" max="2311" width="9" style="27"/>
    <col min="2312" max="2312" width="7.85546875" style="27" bestFit="1" customWidth="1"/>
    <col min="2313" max="2313" width="5.85546875" style="27" bestFit="1" customWidth="1"/>
    <col min="2314" max="2314" width="6.140625" style="27" bestFit="1" customWidth="1"/>
    <col min="2315" max="2315" width="4.42578125" style="27" bestFit="1" customWidth="1"/>
    <col min="2316" max="2316" width="6.85546875" style="27" bestFit="1" customWidth="1"/>
    <col min="2317" max="2317" width="4.42578125" style="27" bestFit="1" customWidth="1"/>
    <col min="2318" max="2318" width="8.42578125" style="27" bestFit="1" customWidth="1"/>
    <col min="2319" max="2319" width="1.85546875" style="27" bestFit="1" customWidth="1"/>
    <col min="2320" max="2320" width="9.85546875" style="27" bestFit="1" customWidth="1"/>
    <col min="2321" max="2322" width="9" style="27"/>
    <col min="2323" max="2323" width="20.42578125" style="27" bestFit="1" customWidth="1"/>
    <col min="2324" max="2324" width="9.85546875" style="27" bestFit="1" customWidth="1"/>
    <col min="2325" max="2557" width="9" style="27"/>
    <col min="2558" max="2558" width="14.7109375" style="27" bestFit="1" customWidth="1"/>
    <col min="2559" max="2559" width="16" style="27" customWidth="1"/>
    <col min="2560" max="2560" width="12.85546875" style="27" bestFit="1" customWidth="1"/>
    <col min="2561" max="2562" width="10.140625" style="27" bestFit="1" customWidth="1"/>
    <col min="2563" max="2563" width="29.140625" style="27" bestFit="1" customWidth="1"/>
    <col min="2564" max="2564" width="14" style="27" customWidth="1"/>
    <col min="2565" max="2565" width="4.85546875" style="27" bestFit="1" customWidth="1"/>
    <col min="2566" max="2566" width="9.42578125" style="27" customWidth="1"/>
    <col min="2567" max="2567" width="9" style="27"/>
    <col min="2568" max="2568" width="7.85546875" style="27" bestFit="1" customWidth="1"/>
    <col min="2569" max="2569" width="5.85546875" style="27" bestFit="1" customWidth="1"/>
    <col min="2570" max="2570" width="6.140625" style="27" bestFit="1" customWidth="1"/>
    <col min="2571" max="2571" width="4.42578125" style="27" bestFit="1" customWidth="1"/>
    <col min="2572" max="2572" width="6.85546875" style="27" bestFit="1" customWidth="1"/>
    <col min="2573" max="2573" width="4.42578125" style="27" bestFit="1" customWidth="1"/>
    <col min="2574" max="2574" width="8.42578125" style="27" bestFit="1" customWidth="1"/>
    <col min="2575" max="2575" width="1.85546875" style="27" bestFit="1" customWidth="1"/>
    <col min="2576" max="2576" width="9.85546875" style="27" bestFit="1" customWidth="1"/>
    <col min="2577" max="2578" width="9" style="27"/>
    <col min="2579" max="2579" width="20.42578125" style="27" bestFit="1" customWidth="1"/>
    <col min="2580" max="2580" width="9.85546875" style="27" bestFit="1" customWidth="1"/>
    <col min="2581" max="2813" width="9" style="27"/>
    <col min="2814" max="2814" width="14.7109375" style="27" bestFit="1" customWidth="1"/>
    <col min="2815" max="2815" width="16" style="27" customWidth="1"/>
    <col min="2816" max="2816" width="12.85546875" style="27" bestFit="1" customWidth="1"/>
    <col min="2817" max="2818" width="10.140625" style="27" bestFit="1" customWidth="1"/>
    <col min="2819" max="2819" width="29.140625" style="27" bestFit="1" customWidth="1"/>
    <col min="2820" max="2820" width="14" style="27" customWidth="1"/>
    <col min="2821" max="2821" width="4.85546875" style="27" bestFit="1" customWidth="1"/>
    <col min="2822" max="2822" width="9.42578125" style="27" customWidth="1"/>
    <col min="2823" max="2823" width="9" style="27"/>
    <col min="2824" max="2824" width="7.85546875" style="27" bestFit="1" customWidth="1"/>
    <col min="2825" max="2825" width="5.85546875" style="27" bestFit="1" customWidth="1"/>
    <col min="2826" max="2826" width="6.140625" style="27" bestFit="1" customWidth="1"/>
    <col min="2827" max="2827" width="4.42578125" style="27" bestFit="1" customWidth="1"/>
    <col min="2828" max="2828" width="6.85546875" style="27" bestFit="1" customWidth="1"/>
    <col min="2829" max="2829" width="4.42578125" style="27" bestFit="1" customWidth="1"/>
    <col min="2830" max="2830" width="8.42578125" style="27" bestFit="1" customWidth="1"/>
    <col min="2831" max="2831" width="1.85546875" style="27" bestFit="1" customWidth="1"/>
    <col min="2832" max="2832" width="9.85546875" style="27" bestFit="1" customWidth="1"/>
    <col min="2833" max="2834" width="9" style="27"/>
    <col min="2835" max="2835" width="20.42578125" style="27" bestFit="1" customWidth="1"/>
    <col min="2836" max="2836" width="9.85546875" style="27" bestFit="1" customWidth="1"/>
    <col min="2837" max="3069" width="9" style="27"/>
    <col min="3070" max="3070" width="14.7109375" style="27" bestFit="1" customWidth="1"/>
    <col min="3071" max="3071" width="16" style="27" customWidth="1"/>
    <col min="3072" max="3072" width="12.85546875" style="27" bestFit="1" customWidth="1"/>
    <col min="3073" max="3074" width="10.140625" style="27" bestFit="1" customWidth="1"/>
    <col min="3075" max="3075" width="29.140625" style="27" bestFit="1" customWidth="1"/>
    <col min="3076" max="3076" width="14" style="27" customWidth="1"/>
    <col min="3077" max="3077" width="4.85546875" style="27" bestFit="1" customWidth="1"/>
    <col min="3078" max="3078" width="9.42578125" style="27" customWidth="1"/>
    <col min="3079" max="3079" width="9" style="27"/>
    <col min="3080" max="3080" width="7.85546875" style="27" bestFit="1" customWidth="1"/>
    <col min="3081" max="3081" width="5.85546875" style="27" bestFit="1" customWidth="1"/>
    <col min="3082" max="3082" width="6.140625" style="27" bestFit="1" customWidth="1"/>
    <col min="3083" max="3083" width="4.42578125" style="27" bestFit="1" customWidth="1"/>
    <col min="3084" max="3084" width="6.85546875" style="27" bestFit="1" customWidth="1"/>
    <col min="3085" max="3085" width="4.42578125" style="27" bestFit="1" customWidth="1"/>
    <col min="3086" max="3086" width="8.42578125" style="27" bestFit="1" customWidth="1"/>
    <col min="3087" max="3087" width="1.85546875" style="27" bestFit="1" customWidth="1"/>
    <col min="3088" max="3088" width="9.85546875" style="27" bestFit="1" customWidth="1"/>
    <col min="3089" max="3090" width="9" style="27"/>
    <col min="3091" max="3091" width="20.42578125" style="27" bestFit="1" customWidth="1"/>
    <col min="3092" max="3092" width="9.85546875" style="27" bestFit="1" customWidth="1"/>
    <col min="3093" max="3325" width="9" style="27"/>
    <col min="3326" max="3326" width="14.7109375" style="27" bestFit="1" customWidth="1"/>
    <col min="3327" max="3327" width="16" style="27" customWidth="1"/>
    <col min="3328" max="3328" width="12.85546875" style="27" bestFit="1" customWidth="1"/>
    <col min="3329" max="3330" width="10.140625" style="27" bestFit="1" customWidth="1"/>
    <col min="3331" max="3331" width="29.140625" style="27" bestFit="1" customWidth="1"/>
    <col min="3332" max="3332" width="14" style="27" customWidth="1"/>
    <col min="3333" max="3333" width="4.85546875" style="27" bestFit="1" customWidth="1"/>
    <col min="3334" max="3334" width="9.42578125" style="27" customWidth="1"/>
    <col min="3335" max="3335" width="9" style="27"/>
    <col min="3336" max="3336" width="7.85546875" style="27" bestFit="1" customWidth="1"/>
    <col min="3337" max="3337" width="5.85546875" style="27" bestFit="1" customWidth="1"/>
    <col min="3338" max="3338" width="6.140625" style="27" bestFit="1" customWidth="1"/>
    <col min="3339" max="3339" width="4.42578125" style="27" bestFit="1" customWidth="1"/>
    <col min="3340" max="3340" width="6.85546875" style="27" bestFit="1" customWidth="1"/>
    <col min="3341" max="3341" width="4.42578125" style="27" bestFit="1" customWidth="1"/>
    <col min="3342" max="3342" width="8.42578125" style="27" bestFit="1" customWidth="1"/>
    <col min="3343" max="3343" width="1.85546875" style="27" bestFit="1" customWidth="1"/>
    <col min="3344" max="3344" width="9.85546875" style="27" bestFit="1" customWidth="1"/>
    <col min="3345" max="3346" width="9" style="27"/>
    <col min="3347" max="3347" width="20.42578125" style="27" bestFit="1" customWidth="1"/>
    <col min="3348" max="3348" width="9.85546875" style="27" bestFit="1" customWidth="1"/>
    <col min="3349" max="3581" width="9" style="27"/>
    <col min="3582" max="3582" width="14.7109375" style="27" bestFit="1" customWidth="1"/>
    <col min="3583" max="3583" width="16" style="27" customWidth="1"/>
    <col min="3584" max="3584" width="12.85546875" style="27" bestFit="1" customWidth="1"/>
    <col min="3585" max="3586" width="10.140625" style="27" bestFit="1" customWidth="1"/>
    <col min="3587" max="3587" width="29.140625" style="27" bestFit="1" customWidth="1"/>
    <col min="3588" max="3588" width="14" style="27" customWidth="1"/>
    <col min="3589" max="3589" width="4.85546875" style="27" bestFit="1" customWidth="1"/>
    <col min="3590" max="3590" width="9.42578125" style="27" customWidth="1"/>
    <col min="3591" max="3591" width="9" style="27"/>
    <col min="3592" max="3592" width="7.85546875" style="27" bestFit="1" customWidth="1"/>
    <col min="3593" max="3593" width="5.85546875" style="27" bestFit="1" customWidth="1"/>
    <col min="3594" max="3594" width="6.140625" style="27" bestFit="1" customWidth="1"/>
    <col min="3595" max="3595" width="4.42578125" style="27" bestFit="1" customWidth="1"/>
    <col min="3596" max="3596" width="6.85546875" style="27" bestFit="1" customWidth="1"/>
    <col min="3597" max="3597" width="4.42578125" style="27" bestFit="1" customWidth="1"/>
    <col min="3598" max="3598" width="8.42578125" style="27" bestFit="1" customWidth="1"/>
    <col min="3599" max="3599" width="1.85546875" style="27" bestFit="1" customWidth="1"/>
    <col min="3600" max="3600" width="9.85546875" style="27" bestFit="1" customWidth="1"/>
    <col min="3601" max="3602" width="9" style="27"/>
    <col min="3603" max="3603" width="20.42578125" style="27" bestFit="1" customWidth="1"/>
    <col min="3604" max="3604" width="9.85546875" style="27" bestFit="1" customWidth="1"/>
    <col min="3605" max="3837" width="9" style="27"/>
    <col min="3838" max="3838" width="14.7109375" style="27" bestFit="1" customWidth="1"/>
    <col min="3839" max="3839" width="16" style="27" customWidth="1"/>
    <col min="3840" max="3840" width="12.85546875" style="27" bestFit="1" customWidth="1"/>
    <col min="3841" max="3842" width="10.140625" style="27" bestFit="1" customWidth="1"/>
    <col min="3843" max="3843" width="29.140625" style="27" bestFit="1" customWidth="1"/>
    <col min="3844" max="3844" width="14" style="27" customWidth="1"/>
    <col min="3845" max="3845" width="4.85546875" style="27" bestFit="1" customWidth="1"/>
    <col min="3846" max="3846" width="9.42578125" style="27" customWidth="1"/>
    <col min="3847" max="3847" width="9" style="27"/>
    <col min="3848" max="3848" width="7.85546875" style="27" bestFit="1" customWidth="1"/>
    <col min="3849" max="3849" width="5.85546875" style="27" bestFit="1" customWidth="1"/>
    <col min="3850" max="3850" width="6.140625" style="27" bestFit="1" customWidth="1"/>
    <col min="3851" max="3851" width="4.42578125" style="27" bestFit="1" customWidth="1"/>
    <col min="3852" max="3852" width="6.85546875" style="27" bestFit="1" customWidth="1"/>
    <col min="3853" max="3853" width="4.42578125" style="27" bestFit="1" customWidth="1"/>
    <col min="3854" max="3854" width="8.42578125" style="27" bestFit="1" customWidth="1"/>
    <col min="3855" max="3855" width="1.85546875" style="27" bestFit="1" customWidth="1"/>
    <col min="3856" max="3856" width="9.85546875" style="27" bestFit="1" customWidth="1"/>
    <col min="3857" max="3858" width="9" style="27"/>
    <col min="3859" max="3859" width="20.42578125" style="27" bestFit="1" customWidth="1"/>
    <col min="3860" max="3860" width="9.85546875" style="27" bestFit="1" customWidth="1"/>
    <col min="3861" max="4093" width="9" style="27"/>
    <col min="4094" max="4094" width="14.7109375" style="27" bestFit="1" customWidth="1"/>
    <col min="4095" max="4095" width="16" style="27" customWidth="1"/>
    <col min="4096" max="4096" width="12.85546875" style="27" bestFit="1" customWidth="1"/>
    <col min="4097" max="4098" width="10.140625" style="27" bestFit="1" customWidth="1"/>
    <col min="4099" max="4099" width="29.140625" style="27" bestFit="1" customWidth="1"/>
    <col min="4100" max="4100" width="14" style="27" customWidth="1"/>
    <col min="4101" max="4101" width="4.85546875" style="27" bestFit="1" customWidth="1"/>
    <col min="4102" max="4102" width="9.42578125" style="27" customWidth="1"/>
    <col min="4103" max="4103" width="9" style="27"/>
    <col min="4104" max="4104" width="7.85546875" style="27" bestFit="1" customWidth="1"/>
    <col min="4105" max="4105" width="5.85546875" style="27" bestFit="1" customWidth="1"/>
    <col min="4106" max="4106" width="6.140625" style="27" bestFit="1" customWidth="1"/>
    <col min="4107" max="4107" width="4.42578125" style="27" bestFit="1" customWidth="1"/>
    <col min="4108" max="4108" width="6.85546875" style="27" bestFit="1" customWidth="1"/>
    <col min="4109" max="4109" width="4.42578125" style="27" bestFit="1" customWidth="1"/>
    <col min="4110" max="4110" width="8.42578125" style="27" bestFit="1" customWidth="1"/>
    <col min="4111" max="4111" width="1.85546875" style="27" bestFit="1" customWidth="1"/>
    <col min="4112" max="4112" width="9.85546875" style="27" bestFit="1" customWidth="1"/>
    <col min="4113" max="4114" width="9" style="27"/>
    <col min="4115" max="4115" width="20.42578125" style="27" bestFit="1" customWidth="1"/>
    <col min="4116" max="4116" width="9.85546875" style="27" bestFit="1" customWidth="1"/>
    <col min="4117" max="4349" width="9" style="27"/>
    <col min="4350" max="4350" width="14.7109375" style="27" bestFit="1" customWidth="1"/>
    <col min="4351" max="4351" width="16" style="27" customWidth="1"/>
    <col min="4352" max="4352" width="12.85546875" style="27" bestFit="1" customWidth="1"/>
    <col min="4353" max="4354" width="10.140625" style="27" bestFit="1" customWidth="1"/>
    <col min="4355" max="4355" width="29.140625" style="27" bestFit="1" customWidth="1"/>
    <col min="4356" max="4356" width="14" style="27" customWidth="1"/>
    <col min="4357" max="4357" width="4.85546875" style="27" bestFit="1" customWidth="1"/>
    <col min="4358" max="4358" width="9.42578125" style="27" customWidth="1"/>
    <col min="4359" max="4359" width="9" style="27"/>
    <col min="4360" max="4360" width="7.85546875" style="27" bestFit="1" customWidth="1"/>
    <col min="4361" max="4361" width="5.85546875" style="27" bestFit="1" customWidth="1"/>
    <col min="4362" max="4362" width="6.140625" style="27" bestFit="1" customWidth="1"/>
    <col min="4363" max="4363" width="4.42578125" style="27" bestFit="1" customWidth="1"/>
    <col min="4364" max="4364" width="6.85546875" style="27" bestFit="1" customWidth="1"/>
    <col min="4365" max="4365" width="4.42578125" style="27" bestFit="1" customWidth="1"/>
    <col min="4366" max="4366" width="8.42578125" style="27" bestFit="1" customWidth="1"/>
    <col min="4367" max="4367" width="1.85546875" style="27" bestFit="1" customWidth="1"/>
    <col min="4368" max="4368" width="9.85546875" style="27" bestFit="1" customWidth="1"/>
    <col min="4369" max="4370" width="9" style="27"/>
    <col min="4371" max="4371" width="20.42578125" style="27" bestFit="1" customWidth="1"/>
    <col min="4372" max="4372" width="9.85546875" style="27" bestFit="1" customWidth="1"/>
    <col min="4373" max="4605" width="9" style="27"/>
    <col min="4606" max="4606" width="14.7109375" style="27" bestFit="1" customWidth="1"/>
    <col min="4607" max="4607" width="16" style="27" customWidth="1"/>
    <col min="4608" max="4608" width="12.85546875" style="27" bestFit="1" customWidth="1"/>
    <col min="4609" max="4610" width="10.140625" style="27" bestFit="1" customWidth="1"/>
    <col min="4611" max="4611" width="29.140625" style="27" bestFit="1" customWidth="1"/>
    <col min="4612" max="4612" width="14" style="27" customWidth="1"/>
    <col min="4613" max="4613" width="4.85546875" style="27" bestFit="1" customWidth="1"/>
    <col min="4614" max="4614" width="9.42578125" style="27" customWidth="1"/>
    <col min="4615" max="4615" width="9" style="27"/>
    <col min="4616" max="4616" width="7.85546875" style="27" bestFit="1" customWidth="1"/>
    <col min="4617" max="4617" width="5.85546875" style="27" bestFit="1" customWidth="1"/>
    <col min="4618" max="4618" width="6.140625" style="27" bestFit="1" customWidth="1"/>
    <col min="4619" max="4619" width="4.42578125" style="27" bestFit="1" customWidth="1"/>
    <col min="4620" max="4620" width="6.85546875" style="27" bestFit="1" customWidth="1"/>
    <col min="4621" max="4621" width="4.42578125" style="27" bestFit="1" customWidth="1"/>
    <col min="4622" max="4622" width="8.42578125" style="27" bestFit="1" customWidth="1"/>
    <col min="4623" max="4623" width="1.85546875" style="27" bestFit="1" customWidth="1"/>
    <col min="4624" max="4624" width="9.85546875" style="27" bestFit="1" customWidth="1"/>
    <col min="4625" max="4626" width="9" style="27"/>
    <col min="4627" max="4627" width="20.42578125" style="27" bestFit="1" customWidth="1"/>
    <col min="4628" max="4628" width="9.85546875" style="27" bestFit="1" customWidth="1"/>
    <col min="4629" max="4861" width="9" style="27"/>
    <col min="4862" max="4862" width="14.7109375" style="27" bestFit="1" customWidth="1"/>
    <col min="4863" max="4863" width="16" style="27" customWidth="1"/>
    <col min="4864" max="4864" width="12.85546875" style="27" bestFit="1" customWidth="1"/>
    <col min="4865" max="4866" width="10.140625" style="27" bestFit="1" customWidth="1"/>
    <col min="4867" max="4867" width="29.140625" style="27" bestFit="1" customWidth="1"/>
    <col min="4868" max="4868" width="14" style="27" customWidth="1"/>
    <col min="4869" max="4869" width="4.85546875" style="27" bestFit="1" customWidth="1"/>
    <col min="4870" max="4870" width="9.42578125" style="27" customWidth="1"/>
    <col min="4871" max="4871" width="9" style="27"/>
    <col min="4872" max="4872" width="7.85546875" style="27" bestFit="1" customWidth="1"/>
    <col min="4873" max="4873" width="5.85546875" style="27" bestFit="1" customWidth="1"/>
    <col min="4874" max="4874" width="6.140625" style="27" bestFit="1" customWidth="1"/>
    <col min="4875" max="4875" width="4.42578125" style="27" bestFit="1" customWidth="1"/>
    <col min="4876" max="4876" width="6.85546875" style="27" bestFit="1" customWidth="1"/>
    <col min="4877" max="4877" width="4.42578125" style="27" bestFit="1" customWidth="1"/>
    <col min="4878" max="4878" width="8.42578125" style="27" bestFit="1" customWidth="1"/>
    <col min="4879" max="4879" width="1.85546875" style="27" bestFit="1" customWidth="1"/>
    <col min="4880" max="4880" width="9.85546875" style="27" bestFit="1" customWidth="1"/>
    <col min="4881" max="4882" width="9" style="27"/>
    <col min="4883" max="4883" width="20.42578125" style="27" bestFit="1" customWidth="1"/>
    <col min="4884" max="4884" width="9.85546875" style="27" bestFit="1" customWidth="1"/>
    <col min="4885" max="5117" width="9" style="27"/>
    <col min="5118" max="5118" width="14.7109375" style="27" bestFit="1" customWidth="1"/>
    <col min="5119" max="5119" width="16" style="27" customWidth="1"/>
    <col min="5120" max="5120" width="12.85546875" style="27" bestFit="1" customWidth="1"/>
    <col min="5121" max="5122" width="10.140625" style="27" bestFit="1" customWidth="1"/>
    <col min="5123" max="5123" width="29.140625" style="27" bestFit="1" customWidth="1"/>
    <col min="5124" max="5124" width="14" style="27" customWidth="1"/>
    <col min="5125" max="5125" width="4.85546875" style="27" bestFit="1" customWidth="1"/>
    <col min="5126" max="5126" width="9.42578125" style="27" customWidth="1"/>
    <col min="5127" max="5127" width="9" style="27"/>
    <col min="5128" max="5128" width="7.85546875" style="27" bestFit="1" customWidth="1"/>
    <col min="5129" max="5129" width="5.85546875" style="27" bestFit="1" customWidth="1"/>
    <col min="5130" max="5130" width="6.140625" style="27" bestFit="1" customWidth="1"/>
    <col min="5131" max="5131" width="4.42578125" style="27" bestFit="1" customWidth="1"/>
    <col min="5132" max="5132" width="6.85546875" style="27" bestFit="1" customWidth="1"/>
    <col min="5133" max="5133" width="4.42578125" style="27" bestFit="1" customWidth="1"/>
    <col min="5134" max="5134" width="8.42578125" style="27" bestFit="1" customWidth="1"/>
    <col min="5135" max="5135" width="1.85546875" style="27" bestFit="1" customWidth="1"/>
    <col min="5136" max="5136" width="9.85546875" style="27" bestFit="1" customWidth="1"/>
    <col min="5137" max="5138" width="9" style="27"/>
    <col min="5139" max="5139" width="20.42578125" style="27" bestFit="1" customWidth="1"/>
    <col min="5140" max="5140" width="9.85546875" style="27" bestFit="1" customWidth="1"/>
    <col min="5141" max="5373" width="9" style="27"/>
    <col min="5374" max="5374" width="14.7109375" style="27" bestFit="1" customWidth="1"/>
    <col min="5375" max="5375" width="16" style="27" customWidth="1"/>
    <col min="5376" max="5376" width="12.85546875" style="27" bestFit="1" customWidth="1"/>
    <col min="5377" max="5378" width="10.140625" style="27" bestFit="1" customWidth="1"/>
    <col min="5379" max="5379" width="29.140625" style="27" bestFit="1" customWidth="1"/>
    <col min="5380" max="5380" width="14" style="27" customWidth="1"/>
    <col min="5381" max="5381" width="4.85546875" style="27" bestFit="1" customWidth="1"/>
    <col min="5382" max="5382" width="9.42578125" style="27" customWidth="1"/>
    <col min="5383" max="5383" width="9" style="27"/>
    <col min="5384" max="5384" width="7.85546875" style="27" bestFit="1" customWidth="1"/>
    <col min="5385" max="5385" width="5.85546875" style="27" bestFit="1" customWidth="1"/>
    <col min="5386" max="5386" width="6.140625" style="27" bestFit="1" customWidth="1"/>
    <col min="5387" max="5387" width="4.42578125" style="27" bestFit="1" customWidth="1"/>
    <col min="5388" max="5388" width="6.85546875" style="27" bestFit="1" customWidth="1"/>
    <col min="5389" max="5389" width="4.42578125" style="27" bestFit="1" customWidth="1"/>
    <col min="5390" max="5390" width="8.42578125" style="27" bestFit="1" customWidth="1"/>
    <col min="5391" max="5391" width="1.85546875" style="27" bestFit="1" customWidth="1"/>
    <col min="5392" max="5392" width="9.85546875" style="27" bestFit="1" customWidth="1"/>
    <col min="5393" max="5394" width="9" style="27"/>
    <col min="5395" max="5395" width="20.42578125" style="27" bestFit="1" customWidth="1"/>
    <col min="5396" max="5396" width="9.85546875" style="27" bestFit="1" customWidth="1"/>
    <col min="5397" max="5629" width="9" style="27"/>
    <col min="5630" max="5630" width="14.7109375" style="27" bestFit="1" customWidth="1"/>
    <col min="5631" max="5631" width="16" style="27" customWidth="1"/>
    <col min="5632" max="5632" width="12.85546875" style="27" bestFit="1" customWidth="1"/>
    <col min="5633" max="5634" width="10.140625" style="27" bestFit="1" customWidth="1"/>
    <col min="5635" max="5635" width="29.140625" style="27" bestFit="1" customWidth="1"/>
    <col min="5636" max="5636" width="14" style="27" customWidth="1"/>
    <col min="5637" max="5637" width="4.85546875" style="27" bestFit="1" customWidth="1"/>
    <col min="5638" max="5638" width="9.42578125" style="27" customWidth="1"/>
    <col min="5639" max="5639" width="9" style="27"/>
    <col min="5640" max="5640" width="7.85546875" style="27" bestFit="1" customWidth="1"/>
    <col min="5641" max="5641" width="5.85546875" style="27" bestFit="1" customWidth="1"/>
    <col min="5642" max="5642" width="6.140625" style="27" bestFit="1" customWidth="1"/>
    <col min="5643" max="5643" width="4.42578125" style="27" bestFit="1" customWidth="1"/>
    <col min="5644" max="5644" width="6.85546875" style="27" bestFit="1" customWidth="1"/>
    <col min="5645" max="5645" width="4.42578125" style="27" bestFit="1" customWidth="1"/>
    <col min="5646" max="5646" width="8.42578125" style="27" bestFit="1" customWidth="1"/>
    <col min="5647" max="5647" width="1.85546875" style="27" bestFit="1" customWidth="1"/>
    <col min="5648" max="5648" width="9.85546875" style="27" bestFit="1" customWidth="1"/>
    <col min="5649" max="5650" width="9" style="27"/>
    <col min="5651" max="5651" width="20.42578125" style="27" bestFit="1" customWidth="1"/>
    <col min="5652" max="5652" width="9.85546875" style="27" bestFit="1" customWidth="1"/>
    <col min="5653" max="5885" width="9" style="27"/>
    <col min="5886" max="5886" width="14.7109375" style="27" bestFit="1" customWidth="1"/>
    <col min="5887" max="5887" width="16" style="27" customWidth="1"/>
    <col min="5888" max="5888" width="12.85546875" style="27" bestFit="1" customWidth="1"/>
    <col min="5889" max="5890" width="10.140625" style="27" bestFit="1" customWidth="1"/>
    <col min="5891" max="5891" width="29.140625" style="27" bestFit="1" customWidth="1"/>
    <col min="5892" max="5892" width="14" style="27" customWidth="1"/>
    <col min="5893" max="5893" width="4.85546875" style="27" bestFit="1" customWidth="1"/>
    <col min="5894" max="5894" width="9.42578125" style="27" customWidth="1"/>
    <col min="5895" max="5895" width="9" style="27"/>
    <col min="5896" max="5896" width="7.85546875" style="27" bestFit="1" customWidth="1"/>
    <col min="5897" max="5897" width="5.85546875" style="27" bestFit="1" customWidth="1"/>
    <col min="5898" max="5898" width="6.140625" style="27" bestFit="1" customWidth="1"/>
    <col min="5899" max="5899" width="4.42578125" style="27" bestFit="1" customWidth="1"/>
    <col min="5900" max="5900" width="6.85546875" style="27" bestFit="1" customWidth="1"/>
    <col min="5901" max="5901" width="4.42578125" style="27" bestFit="1" customWidth="1"/>
    <col min="5902" max="5902" width="8.42578125" style="27" bestFit="1" customWidth="1"/>
    <col min="5903" max="5903" width="1.85546875" style="27" bestFit="1" customWidth="1"/>
    <col min="5904" max="5904" width="9.85546875" style="27" bestFit="1" customWidth="1"/>
    <col min="5905" max="5906" width="9" style="27"/>
    <col min="5907" max="5907" width="20.42578125" style="27" bestFit="1" customWidth="1"/>
    <col min="5908" max="5908" width="9.85546875" style="27" bestFit="1" customWidth="1"/>
    <col min="5909" max="6141" width="9" style="27"/>
    <col min="6142" max="6142" width="14.7109375" style="27" bestFit="1" customWidth="1"/>
    <col min="6143" max="6143" width="16" style="27" customWidth="1"/>
    <col min="6144" max="6144" width="12.85546875" style="27" bestFit="1" customWidth="1"/>
    <col min="6145" max="6146" width="10.140625" style="27" bestFit="1" customWidth="1"/>
    <col min="6147" max="6147" width="29.140625" style="27" bestFit="1" customWidth="1"/>
    <col min="6148" max="6148" width="14" style="27" customWidth="1"/>
    <col min="6149" max="6149" width="4.85546875" style="27" bestFit="1" customWidth="1"/>
    <col min="6150" max="6150" width="9.42578125" style="27" customWidth="1"/>
    <col min="6151" max="6151" width="9" style="27"/>
    <col min="6152" max="6152" width="7.85546875" style="27" bestFit="1" customWidth="1"/>
    <col min="6153" max="6153" width="5.85546875" style="27" bestFit="1" customWidth="1"/>
    <col min="6154" max="6154" width="6.140625" style="27" bestFit="1" customWidth="1"/>
    <col min="6155" max="6155" width="4.42578125" style="27" bestFit="1" customWidth="1"/>
    <col min="6156" max="6156" width="6.85546875" style="27" bestFit="1" customWidth="1"/>
    <col min="6157" max="6157" width="4.42578125" style="27" bestFit="1" customWidth="1"/>
    <col min="6158" max="6158" width="8.42578125" style="27" bestFit="1" customWidth="1"/>
    <col min="6159" max="6159" width="1.85546875" style="27" bestFit="1" customWidth="1"/>
    <col min="6160" max="6160" width="9.85546875" style="27" bestFit="1" customWidth="1"/>
    <col min="6161" max="6162" width="9" style="27"/>
    <col min="6163" max="6163" width="20.42578125" style="27" bestFit="1" customWidth="1"/>
    <col min="6164" max="6164" width="9.85546875" style="27" bestFit="1" customWidth="1"/>
    <col min="6165" max="6397" width="9" style="27"/>
    <col min="6398" max="6398" width="14.7109375" style="27" bestFit="1" customWidth="1"/>
    <col min="6399" max="6399" width="16" style="27" customWidth="1"/>
    <col min="6400" max="6400" width="12.85546875" style="27" bestFit="1" customWidth="1"/>
    <col min="6401" max="6402" width="10.140625" style="27" bestFit="1" customWidth="1"/>
    <col min="6403" max="6403" width="29.140625" style="27" bestFit="1" customWidth="1"/>
    <col min="6404" max="6404" width="14" style="27" customWidth="1"/>
    <col min="6405" max="6405" width="4.85546875" style="27" bestFit="1" customWidth="1"/>
    <col min="6406" max="6406" width="9.42578125" style="27" customWidth="1"/>
    <col min="6407" max="6407" width="9" style="27"/>
    <col min="6408" max="6408" width="7.85546875" style="27" bestFit="1" customWidth="1"/>
    <col min="6409" max="6409" width="5.85546875" style="27" bestFit="1" customWidth="1"/>
    <col min="6410" max="6410" width="6.140625" style="27" bestFit="1" customWidth="1"/>
    <col min="6411" max="6411" width="4.42578125" style="27" bestFit="1" customWidth="1"/>
    <col min="6412" max="6412" width="6.85546875" style="27" bestFit="1" customWidth="1"/>
    <col min="6413" max="6413" width="4.42578125" style="27" bestFit="1" customWidth="1"/>
    <col min="6414" max="6414" width="8.42578125" style="27" bestFit="1" customWidth="1"/>
    <col min="6415" max="6415" width="1.85546875" style="27" bestFit="1" customWidth="1"/>
    <col min="6416" max="6416" width="9.85546875" style="27" bestFit="1" customWidth="1"/>
    <col min="6417" max="6418" width="9" style="27"/>
    <col min="6419" max="6419" width="20.42578125" style="27" bestFit="1" customWidth="1"/>
    <col min="6420" max="6420" width="9.85546875" style="27" bestFit="1" customWidth="1"/>
    <col min="6421" max="6653" width="9" style="27"/>
    <col min="6654" max="6654" width="14.7109375" style="27" bestFit="1" customWidth="1"/>
    <col min="6655" max="6655" width="16" style="27" customWidth="1"/>
    <col min="6656" max="6656" width="12.85546875" style="27" bestFit="1" customWidth="1"/>
    <col min="6657" max="6658" width="10.140625" style="27" bestFit="1" customWidth="1"/>
    <col min="6659" max="6659" width="29.140625" style="27" bestFit="1" customWidth="1"/>
    <col min="6660" max="6660" width="14" style="27" customWidth="1"/>
    <col min="6661" max="6661" width="4.85546875" style="27" bestFit="1" customWidth="1"/>
    <col min="6662" max="6662" width="9.42578125" style="27" customWidth="1"/>
    <col min="6663" max="6663" width="9" style="27"/>
    <col min="6664" max="6664" width="7.85546875" style="27" bestFit="1" customWidth="1"/>
    <col min="6665" max="6665" width="5.85546875" style="27" bestFit="1" customWidth="1"/>
    <col min="6666" max="6666" width="6.140625" style="27" bestFit="1" customWidth="1"/>
    <col min="6667" max="6667" width="4.42578125" style="27" bestFit="1" customWidth="1"/>
    <col min="6668" max="6668" width="6.85546875" style="27" bestFit="1" customWidth="1"/>
    <col min="6669" max="6669" width="4.42578125" style="27" bestFit="1" customWidth="1"/>
    <col min="6670" max="6670" width="8.42578125" style="27" bestFit="1" customWidth="1"/>
    <col min="6671" max="6671" width="1.85546875" style="27" bestFit="1" customWidth="1"/>
    <col min="6672" max="6672" width="9.85546875" style="27" bestFit="1" customWidth="1"/>
    <col min="6673" max="6674" width="9" style="27"/>
    <col min="6675" max="6675" width="20.42578125" style="27" bestFit="1" customWidth="1"/>
    <col min="6676" max="6676" width="9.85546875" style="27" bestFit="1" customWidth="1"/>
    <col min="6677" max="6909" width="9" style="27"/>
    <col min="6910" max="6910" width="14.7109375" style="27" bestFit="1" customWidth="1"/>
    <col min="6911" max="6911" width="16" style="27" customWidth="1"/>
    <col min="6912" max="6912" width="12.85546875" style="27" bestFit="1" customWidth="1"/>
    <col min="6913" max="6914" width="10.140625" style="27" bestFit="1" customWidth="1"/>
    <col min="6915" max="6915" width="29.140625" style="27" bestFit="1" customWidth="1"/>
    <col min="6916" max="6916" width="14" style="27" customWidth="1"/>
    <col min="6917" max="6917" width="4.85546875" style="27" bestFit="1" customWidth="1"/>
    <col min="6918" max="6918" width="9.42578125" style="27" customWidth="1"/>
    <col min="6919" max="6919" width="9" style="27"/>
    <col min="6920" max="6920" width="7.85546875" style="27" bestFit="1" customWidth="1"/>
    <col min="6921" max="6921" width="5.85546875" style="27" bestFit="1" customWidth="1"/>
    <col min="6922" max="6922" width="6.140625" style="27" bestFit="1" customWidth="1"/>
    <col min="6923" max="6923" width="4.42578125" style="27" bestFit="1" customWidth="1"/>
    <col min="6924" max="6924" width="6.85546875" style="27" bestFit="1" customWidth="1"/>
    <col min="6925" max="6925" width="4.42578125" style="27" bestFit="1" customWidth="1"/>
    <col min="6926" max="6926" width="8.42578125" style="27" bestFit="1" customWidth="1"/>
    <col min="6927" max="6927" width="1.85546875" style="27" bestFit="1" customWidth="1"/>
    <col min="6928" max="6928" width="9.85546875" style="27" bestFit="1" customWidth="1"/>
    <col min="6929" max="6930" width="9" style="27"/>
    <col min="6931" max="6931" width="20.42578125" style="27" bestFit="1" customWidth="1"/>
    <col min="6932" max="6932" width="9.85546875" style="27" bestFit="1" customWidth="1"/>
    <col min="6933" max="7165" width="9" style="27"/>
    <col min="7166" max="7166" width="14.7109375" style="27" bestFit="1" customWidth="1"/>
    <col min="7167" max="7167" width="16" style="27" customWidth="1"/>
    <col min="7168" max="7168" width="12.85546875" style="27" bestFit="1" customWidth="1"/>
    <col min="7169" max="7170" width="10.140625" style="27" bestFit="1" customWidth="1"/>
    <col min="7171" max="7171" width="29.140625" style="27" bestFit="1" customWidth="1"/>
    <col min="7172" max="7172" width="14" style="27" customWidth="1"/>
    <col min="7173" max="7173" width="4.85546875" style="27" bestFit="1" customWidth="1"/>
    <col min="7174" max="7174" width="9.42578125" style="27" customWidth="1"/>
    <col min="7175" max="7175" width="9" style="27"/>
    <col min="7176" max="7176" width="7.85546875" style="27" bestFit="1" customWidth="1"/>
    <col min="7177" max="7177" width="5.85546875" style="27" bestFit="1" customWidth="1"/>
    <col min="7178" max="7178" width="6.140625" style="27" bestFit="1" customWidth="1"/>
    <col min="7179" max="7179" width="4.42578125" style="27" bestFit="1" customWidth="1"/>
    <col min="7180" max="7180" width="6.85546875" style="27" bestFit="1" customWidth="1"/>
    <col min="7181" max="7181" width="4.42578125" style="27" bestFit="1" customWidth="1"/>
    <col min="7182" max="7182" width="8.42578125" style="27" bestFit="1" customWidth="1"/>
    <col min="7183" max="7183" width="1.85546875" style="27" bestFit="1" customWidth="1"/>
    <col min="7184" max="7184" width="9.85546875" style="27" bestFit="1" customWidth="1"/>
    <col min="7185" max="7186" width="9" style="27"/>
    <col min="7187" max="7187" width="20.42578125" style="27" bestFit="1" customWidth="1"/>
    <col min="7188" max="7188" width="9.85546875" style="27" bestFit="1" customWidth="1"/>
    <col min="7189" max="7421" width="9" style="27"/>
    <col min="7422" max="7422" width="14.7109375" style="27" bestFit="1" customWidth="1"/>
    <col min="7423" max="7423" width="16" style="27" customWidth="1"/>
    <col min="7424" max="7424" width="12.85546875" style="27" bestFit="1" customWidth="1"/>
    <col min="7425" max="7426" width="10.140625" style="27" bestFit="1" customWidth="1"/>
    <col min="7427" max="7427" width="29.140625" style="27" bestFit="1" customWidth="1"/>
    <col min="7428" max="7428" width="14" style="27" customWidth="1"/>
    <col min="7429" max="7429" width="4.85546875" style="27" bestFit="1" customWidth="1"/>
    <col min="7430" max="7430" width="9.42578125" style="27" customWidth="1"/>
    <col min="7431" max="7431" width="9" style="27"/>
    <col min="7432" max="7432" width="7.85546875" style="27" bestFit="1" customWidth="1"/>
    <col min="7433" max="7433" width="5.85546875" style="27" bestFit="1" customWidth="1"/>
    <col min="7434" max="7434" width="6.140625" style="27" bestFit="1" customWidth="1"/>
    <col min="7435" max="7435" width="4.42578125" style="27" bestFit="1" customWidth="1"/>
    <col min="7436" max="7436" width="6.85546875" style="27" bestFit="1" customWidth="1"/>
    <col min="7437" max="7437" width="4.42578125" style="27" bestFit="1" customWidth="1"/>
    <col min="7438" max="7438" width="8.42578125" style="27" bestFit="1" customWidth="1"/>
    <col min="7439" max="7439" width="1.85546875" style="27" bestFit="1" customWidth="1"/>
    <col min="7440" max="7440" width="9.85546875" style="27" bestFit="1" customWidth="1"/>
    <col min="7441" max="7442" width="9" style="27"/>
    <col min="7443" max="7443" width="20.42578125" style="27" bestFit="1" customWidth="1"/>
    <col min="7444" max="7444" width="9.85546875" style="27" bestFit="1" customWidth="1"/>
    <col min="7445" max="7677" width="9" style="27"/>
    <col min="7678" max="7678" width="14.7109375" style="27" bestFit="1" customWidth="1"/>
    <col min="7679" max="7679" width="16" style="27" customWidth="1"/>
    <col min="7680" max="7680" width="12.85546875" style="27" bestFit="1" customWidth="1"/>
    <col min="7681" max="7682" width="10.140625" style="27" bestFit="1" customWidth="1"/>
    <col min="7683" max="7683" width="29.140625" style="27" bestFit="1" customWidth="1"/>
    <col min="7684" max="7684" width="14" style="27" customWidth="1"/>
    <col min="7685" max="7685" width="4.85546875" style="27" bestFit="1" customWidth="1"/>
    <col min="7686" max="7686" width="9.42578125" style="27" customWidth="1"/>
    <col min="7687" max="7687" width="9" style="27"/>
    <col min="7688" max="7688" width="7.85546875" style="27" bestFit="1" customWidth="1"/>
    <col min="7689" max="7689" width="5.85546875" style="27" bestFit="1" customWidth="1"/>
    <col min="7690" max="7690" width="6.140625" style="27" bestFit="1" customWidth="1"/>
    <col min="7691" max="7691" width="4.42578125" style="27" bestFit="1" customWidth="1"/>
    <col min="7692" max="7692" width="6.85546875" style="27" bestFit="1" customWidth="1"/>
    <col min="7693" max="7693" width="4.42578125" style="27" bestFit="1" customWidth="1"/>
    <col min="7694" max="7694" width="8.42578125" style="27" bestFit="1" customWidth="1"/>
    <col min="7695" max="7695" width="1.85546875" style="27" bestFit="1" customWidth="1"/>
    <col min="7696" max="7696" width="9.85546875" style="27" bestFit="1" customWidth="1"/>
    <col min="7697" max="7698" width="9" style="27"/>
    <col min="7699" max="7699" width="20.42578125" style="27" bestFit="1" customWidth="1"/>
    <col min="7700" max="7700" width="9.85546875" style="27" bestFit="1" customWidth="1"/>
    <col min="7701" max="7933" width="9" style="27"/>
    <col min="7934" max="7934" width="14.7109375" style="27" bestFit="1" customWidth="1"/>
    <col min="7935" max="7935" width="16" style="27" customWidth="1"/>
    <col min="7936" max="7936" width="12.85546875" style="27" bestFit="1" customWidth="1"/>
    <col min="7937" max="7938" width="10.140625" style="27" bestFit="1" customWidth="1"/>
    <col min="7939" max="7939" width="29.140625" style="27" bestFit="1" customWidth="1"/>
    <col min="7940" max="7940" width="14" style="27" customWidth="1"/>
    <col min="7941" max="7941" width="4.85546875" style="27" bestFit="1" customWidth="1"/>
    <col min="7942" max="7942" width="9.42578125" style="27" customWidth="1"/>
    <col min="7943" max="7943" width="9" style="27"/>
    <col min="7944" max="7944" width="7.85546875" style="27" bestFit="1" customWidth="1"/>
    <col min="7945" max="7945" width="5.85546875" style="27" bestFit="1" customWidth="1"/>
    <col min="7946" max="7946" width="6.140625" style="27" bestFit="1" customWidth="1"/>
    <col min="7947" max="7947" width="4.42578125" style="27" bestFit="1" customWidth="1"/>
    <col min="7948" max="7948" width="6.85546875" style="27" bestFit="1" customWidth="1"/>
    <col min="7949" max="7949" width="4.42578125" style="27" bestFit="1" customWidth="1"/>
    <col min="7950" max="7950" width="8.42578125" style="27" bestFit="1" customWidth="1"/>
    <col min="7951" max="7951" width="1.85546875" style="27" bestFit="1" customWidth="1"/>
    <col min="7952" max="7952" width="9.85546875" style="27" bestFit="1" customWidth="1"/>
    <col min="7953" max="7954" width="9" style="27"/>
    <col min="7955" max="7955" width="20.42578125" style="27" bestFit="1" customWidth="1"/>
    <col min="7956" max="7956" width="9.85546875" style="27" bestFit="1" customWidth="1"/>
    <col min="7957" max="8189" width="9" style="27"/>
    <col min="8190" max="8190" width="14.7109375" style="27" bestFit="1" customWidth="1"/>
    <col min="8191" max="8191" width="16" style="27" customWidth="1"/>
    <col min="8192" max="8192" width="12.85546875" style="27" bestFit="1" customWidth="1"/>
    <col min="8193" max="8194" width="10.140625" style="27" bestFit="1" customWidth="1"/>
    <col min="8195" max="8195" width="29.140625" style="27" bestFit="1" customWidth="1"/>
    <col min="8196" max="8196" width="14" style="27" customWidth="1"/>
    <col min="8197" max="8197" width="4.85546875" style="27" bestFit="1" customWidth="1"/>
    <col min="8198" max="8198" width="9.42578125" style="27" customWidth="1"/>
    <col min="8199" max="8199" width="9" style="27"/>
    <col min="8200" max="8200" width="7.85546875" style="27" bestFit="1" customWidth="1"/>
    <col min="8201" max="8201" width="5.85546875" style="27" bestFit="1" customWidth="1"/>
    <col min="8202" max="8202" width="6.140625" style="27" bestFit="1" customWidth="1"/>
    <col min="8203" max="8203" width="4.42578125" style="27" bestFit="1" customWidth="1"/>
    <col min="8204" max="8204" width="6.85546875" style="27" bestFit="1" customWidth="1"/>
    <col min="8205" max="8205" width="4.42578125" style="27" bestFit="1" customWidth="1"/>
    <col min="8206" max="8206" width="8.42578125" style="27" bestFit="1" customWidth="1"/>
    <col min="8207" max="8207" width="1.85546875" style="27" bestFit="1" customWidth="1"/>
    <col min="8208" max="8208" width="9.85546875" style="27" bestFit="1" customWidth="1"/>
    <col min="8209" max="8210" width="9" style="27"/>
    <col min="8211" max="8211" width="20.42578125" style="27" bestFit="1" customWidth="1"/>
    <col min="8212" max="8212" width="9.85546875" style="27" bestFit="1" customWidth="1"/>
    <col min="8213" max="8445" width="9" style="27"/>
    <col min="8446" max="8446" width="14.7109375" style="27" bestFit="1" customWidth="1"/>
    <col min="8447" max="8447" width="16" style="27" customWidth="1"/>
    <col min="8448" max="8448" width="12.85546875" style="27" bestFit="1" customWidth="1"/>
    <col min="8449" max="8450" width="10.140625" style="27" bestFit="1" customWidth="1"/>
    <col min="8451" max="8451" width="29.140625" style="27" bestFit="1" customWidth="1"/>
    <col min="8452" max="8452" width="14" style="27" customWidth="1"/>
    <col min="8453" max="8453" width="4.85546875" style="27" bestFit="1" customWidth="1"/>
    <col min="8454" max="8454" width="9.42578125" style="27" customWidth="1"/>
    <col min="8455" max="8455" width="9" style="27"/>
    <col min="8456" max="8456" width="7.85546875" style="27" bestFit="1" customWidth="1"/>
    <col min="8457" max="8457" width="5.85546875" style="27" bestFit="1" customWidth="1"/>
    <col min="8458" max="8458" width="6.140625" style="27" bestFit="1" customWidth="1"/>
    <col min="8459" max="8459" width="4.42578125" style="27" bestFit="1" customWidth="1"/>
    <col min="8460" max="8460" width="6.85546875" style="27" bestFit="1" customWidth="1"/>
    <col min="8461" max="8461" width="4.42578125" style="27" bestFit="1" customWidth="1"/>
    <col min="8462" max="8462" width="8.42578125" style="27" bestFit="1" customWidth="1"/>
    <col min="8463" max="8463" width="1.85546875" style="27" bestFit="1" customWidth="1"/>
    <col min="8464" max="8464" width="9.85546875" style="27" bestFit="1" customWidth="1"/>
    <col min="8465" max="8466" width="9" style="27"/>
    <col min="8467" max="8467" width="20.42578125" style="27" bestFit="1" customWidth="1"/>
    <col min="8468" max="8468" width="9.85546875" style="27" bestFit="1" customWidth="1"/>
    <col min="8469" max="8701" width="9" style="27"/>
    <col min="8702" max="8702" width="14.7109375" style="27" bestFit="1" customWidth="1"/>
    <col min="8703" max="8703" width="16" style="27" customWidth="1"/>
    <col min="8704" max="8704" width="12.85546875" style="27" bestFit="1" customWidth="1"/>
    <col min="8705" max="8706" width="10.140625" style="27" bestFit="1" customWidth="1"/>
    <col min="8707" max="8707" width="29.140625" style="27" bestFit="1" customWidth="1"/>
    <col min="8708" max="8708" width="14" style="27" customWidth="1"/>
    <col min="8709" max="8709" width="4.85546875" style="27" bestFit="1" customWidth="1"/>
    <col min="8710" max="8710" width="9.42578125" style="27" customWidth="1"/>
    <col min="8711" max="8711" width="9" style="27"/>
    <col min="8712" max="8712" width="7.85546875" style="27" bestFit="1" customWidth="1"/>
    <col min="8713" max="8713" width="5.85546875" style="27" bestFit="1" customWidth="1"/>
    <col min="8714" max="8714" width="6.140625" style="27" bestFit="1" customWidth="1"/>
    <col min="8715" max="8715" width="4.42578125" style="27" bestFit="1" customWidth="1"/>
    <col min="8716" max="8716" width="6.85546875" style="27" bestFit="1" customWidth="1"/>
    <col min="8717" max="8717" width="4.42578125" style="27" bestFit="1" customWidth="1"/>
    <col min="8718" max="8718" width="8.42578125" style="27" bestFit="1" customWidth="1"/>
    <col min="8719" max="8719" width="1.85546875" style="27" bestFit="1" customWidth="1"/>
    <col min="8720" max="8720" width="9.85546875" style="27" bestFit="1" customWidth="1"/>
    <col min="8721" max="8722" width="9" style="27"/>
    <col min="8723" max="8723" width="20.42578125" style="27" bestFit="1" customWidth="1"/>
    <col min="8724" max="8724" width="9.85546875" style="27" bestFit="1" customWidth="1"/>
    <col min="8725" max="8957" width="9" style="27"/>
    <col min="8958" max="8958" width="14.7109375" style="27" bestFit="1" customWidth="1"/>
    <col min="8959" max="8959" width="16" style="27" customWidth="1"/>
    <col min="8960" max="8960" width="12.85546875" style="27" bestFit="1" customWidth="1"/>
    <col min="8961" max="8962" width="10.140625" style="27" bestFit="1" customWidth="1"/>
    <col min="8963" max="8963" width="29.140625" style="27" bestFit="1" customWidth="1"/>
    <col min="8964" max="8964" width="14" style="27" customWidth="1"/>
    <col min="8965" max="8965" width="4.85546875" style="27" bestFit="1" customWidth="1"/>
    <col min="8966" max="8966" width="9.42578125" style="27" customWidth="1"/>
    <col min="8967" max="8967" width="9" style="27"/>
    <col min="8968" max="8968" width="7.85546875" style="27" bestFit="1" customWidth="1"/>
    <col min="8969" max="8969" width="5.85546875" style="27" bestFit="1" customWidth="1"/>
    <col min="8970" max="8970" width="6.140625" style="27" bestFit="1" customWidth="1"/>
    <col min="8971" max="8971" width="4.42578125" style="27" bestFit="1" customWidth="1"/>
    <col min="8972" max="8972" width="6.85546875" style="27" bestFit="1" customWidth="1"/>
    <col min="8973" max="8973" width="4.42578125" style="27" bestFit="1" customWidth="1"/>
    <col min="8974" max="8974" width="8.42578125" style="27" bestFit="1" customWidth="1"/>
    <col min="8975" max="8975" width="1.85546875" style="27" bestFit="1" customWidth="1"/>
    <col min="8976" max="8976" width="9.85546875" style="27" bestFit="1" customWidth="1"/>
    <col min="8977" max="8978" width="9" style="27"/>
    <col min="8979" max="8979" width="20.42578125" style="27" bestFit="1" customWidth="1"/>
    <col min="8980" max="8980" width="9.85546875" style="27" bestFit="1" customWidth="1"/>
    <col min="8981" max="9213" width="9" style="27"/>
    <col min="9214" max="9214" width="14.7109375" style="27" bestFit="1" customWidth="1"/>
    <col min="9215" max="9215" width="16" style="27" customWidth="1"/>
    <col min="9216" max="9216" width="12.85546875" style="27" bestFit="1" customWidth="1"/>
    <col min="9217" max="9218" width="10.140625" style="27" bestFit="1" customWidth="1"/>
    <col min="9219" max="9219" width="29.140625" style="27" bestFit="1" customWidth="1"/>
    <col min="9220" max="9220" width="14" style="27" customWidth="1"/>
    <col min="9221" max="9221" width="4.85546875" style="27" bestFit="1" customWidth="1"/>
    <col min="9222" max="9222" width="9.42578125" style="27" customWidth="1"/>
    <col min="9223" max="9223" width="9" style="27"/>
    <col min="9224" max="9224" width="7.85546875" style="27" bestFit="1" customWidth="1"/>
    <col min="9225" max="9225" width="5.85546875" style="27" bestFit="1" customWidth="1"/>
    <col min="9226" max="9226" width="6.140625" style="27" bestFit="1" customWidth="1"/>
    <col min="9227" max="9227" width="4.42578125" style="27" bestFit="1" customWidth="1"/>
    <col min="9228" max="9228" width="6.85546875" style="27" bestFit="1" customWidth="1"/>
    <col min="9229" max="9229" width="4.42578125" style="27" bestFit="1" customWidth="1"/>
    <col min="9230" max="9230" width="8.42578125" style="27" bestFit="1" customWidth="1"/>
    <col min="9231" max="9231" width="1.85546875" style="27" bestFit="1" customWidth="1"/>
    <col min="9232" max="9232" width="9.85546875" style="27" bestFit="1" customWidth="1"/>
    <col min="9233" max="9234" width="9" style="27"/>
    <col min="9235" max="9235" width="20.42578125" style="27" bestFit="1" customWidth="1"/>
    <col min="9236" max="9236" width="9.85546875" style="27" bestFit="1" customWidth="1"/>
    <col min="9237" max="9469" width="9" style="27"/>
    <col min="9470" max="9470" width="14.7109375" style="27" bestFit="1" customWidth="1"/>
    <col min="9471" max="9471" width="16" style="27" customWidth="1"/>
    <col min="9472" max="9472" width="12.85546875" style="27" bestFit="1" customWidth="1"/>
    <col min="9473" max="9474" width="10.140625" style="27" bestFit="1" customWidth="1"/>
    <col min="9475" max="9475" width="29.140625" style="27" bestFit="1" customWidth="1"/>
    <col min="9476" max="9476" width="14" style="27" customWidth="1"/>
    <col min="9477" max="9477" width="4.85546875" style="27" bestFit="1" customWidth="1"/>
    <col min="9478" max="9478" width="9.42578125" style="27" customWidth="1"/>
    <col min="9479" max="9479" width="9" style="27"/>
    <col min="9480" max="9480" width="7.85546875" style="27" bestFit="1" customWidth="1"/>
    <col min="9481" max="9481" width="5.85546875" style="27" bestFit="1" customWidth="1"/>
    <col min="9482" max="9482" width="6.140625" style="27" bestFit="1" customWidth="1"/>
    <col min="9483" max="9483" width="4.42578125" style="27" bestFit="1" customWidth="1"/>
    <col min="9484" max="9484" width="6.85546875" style="27" bestFit="1" customWidth="1"/>
    <col min="9485" max="9485" width="4.42578125" style="27" bestFit="1" customWidth="1"/>
    <col min="9486" max="9486" width="8.42578125" style="27" bestFit="1" customWidth="1"/>
    <col min="9487" max="9487" width="1.85546875" style="27" bestFit="1" customWidth="1"/>
    <col min="9488" max="9488" width="9.85546875" style="27" bestFit="1" customWidth="1"/>
    <col min="9489" max="9490" width="9" style="27"/>
    <col min="9491" max="9491" width="20.42578125" style="27" bestFit="1" customWidth="1"/>
    <col min="9492" max="9492" width="9.85546875" style="27" bestFit="1" customWidth="1"/>
    <col min="9493" max="9725" width="9" style="27"/>
    <col min="9726" max="9726" width="14.7109375" style="27" bestFit="1" customWidth="1"/>
    <col min="9727" max="9727" width="16" style="27" customWidth="1"/>
    <col min="9728" max="9728" width="12.85546875" style="27" bestFit="1" customWidth="1"/>
    <col min="9729" max="9730" width="10.140625" style="27" bestFit="1" customWidth="1"/>
    <col min="9731" max="9731" width="29.140625" style="27" bestFit="1" customWidth="1"/>
    <col min="9732" max="9732" width="14" style="27" customWidth="1"/>
    <col min="9733" max="9733" width="4.85546875" style="27" bestFit="1" customWidth="1"/>
    <col min="9734" max="9734" width="9.42578125" style="27" customWidth="1"/>
    <col min="9735" max="9735" width="9" style="27"/>
    <col min="9736" max="9736" width="7.85546875" style="27" bestFit="1" customWidth="1"/>
    <col min="9737" max="9737" width="5.85546875" style="27" bestFit="1" customWidth="1"/>
    <col min="9738" max="9738" width="6.140625" style="27" bestFit="1" customWidth="1"/>
    <col min="9739" max="9739" width="4.42578125" style="27" bestFit="1" customWidth="1"/>
    <col min="9740" max="9740" width="6.85546875" style="27" bestFit="1" customWidth="1"/>
    <col min="9741" max="9741" width="4.42578125" style="27" bestFit="1" customWidth="1"/>
    <col min="9742" max="9742" width="8.42578125" style="27" bestFit="1" customWidth="1"/>
    <col min="9743" max="9743" width="1.85546875" style="27" bestFit="1" customWidth="1"/>
    <col min="9744" max="9744" width="9.85546875" style="27" bestFit="1" customWidth="1"/>
    <col min="9745" max="9746" width="9" style="27"/>
    <col min="9747" max="9747" width="20.42578125" style="27" bestFit="1" customWidth="1"/>
    <col min="9748" max="9748" width="9.85546875" style="27" bestFit="1" customWidth="1"/>
    <col min="9749" max="9981" width="9" style="27"/>
    <col min="9982" max="9982" width="14.7109375" style="27" bestFit="1" customWidth="1"/>
    <col min="9983" max="9983" width="16" style="27" customWidth="1"/>
    <col min="9984" max="9984" width="12.85546875" style="27" bestFit="1" customWidth="1"/>
    <col min="9985" max="9986" width="10.140625" style="27" bestFit="1" customWidth="1"/>
    <col min="9987" max="9987" width="29.140625" style="27" bestFit="1" customWidth="1"/>
    <col min="9988" max="9988" width="14" style="27" customWidth="1"/>
    <col min="9989" max="9989" width="4.85546875" style="27" bestFit="1" customWidth="1"/>
    <col min="9990" max="9990" width="9.42578125" style="27" customWidth="1"/>
    <col min="9991" max="9991" width="9" style="27"/>
    <col min="9992" max="9992" width="7.85546875" style="27" bestFit="1" customWidth="1"/>
    <col min="9993" max="9993" width="5.85546875" style="27" bestFit="1" customWidth="1"/>
    <col min="9994" max="9994" width="6.140625" style="27" bestFit="1" customWidth="1"/>
    <col min="9995" max="9995" width="4.42578125" style="27" bestFit="1" customWidth="1"/>
    <col min="9996" max="9996" width="6.85546875" style="27" bestFit="1" customWidth="1"/>
    <col min="9997" max="9997" width="4.42578125" style="27" bestFit="1" customWidth="1"/>
    <col min="9998" max="9998" width="8.42578125" style="27" bestFit="1" customWidth="1"/>
    <col min="9999" max="9999" width="1.85546875" style="27" bestFit="1" customWidth="1"/>
    <col min="10000" max="10000" width="9.85546875" style="27" bestFit="1" customWidth="1"/>
    <col min="10001" max="10002" width="9" style="27"/>
    <col min="10003" max="10003" width="20.42578125" style="27" bestFit="1" customWidth="1"/>
    <col min="10004" max="10004" width="9.85546875" style="27" bestFit="1" customWidth="1"/>
    <col min="10005" max="10237" width="9" style="27"/>
    <col min="10238" max="10238" width="14.7109375" style="27" bestFit="1" customWidth="1"/>
    <col min="10239" max="10239" width="16" style="27" customWidth="1"/>
    <col min="10240" max="10240" width="12.85546875" style="27" bestFit="1" customWidth="1"/>
    <col min="10241" max="10242" width="10.140625" style="27" bestFit="1" customWidth="1"/>
    <col min="10243" max="10243" width="29.140625" style="27" bestFit="1" customWidth="1"/>
    <col min="10244" max="10244" width="14" style="27" customWidth="1"/>
    <col min="10245" max="10245" width="4.85546875" style="27" bestFit="1" customWidth="1"/>
    <col min="10246" max="10246" width="9.42578125" style="27" customWidth="1"/>
    <col min="10247" max="10247" width="9" style="27"/>
    <col min="10248" max="10248" width="7.85546875" style="27" bestFit="1" customWidth="1"/>
    <col min="10249" max="10249" width="5.85546875" style="27" bestFit="1" customWidth="1"/>
    <col min="10250" max="10250" width="6.140625" style="27" bestFit="1" customWidth="1"/>
    <col min="10251" max="10251" width="4.42578125" style="27" bestFit="1" customWidth="1"/>
    <col min="10252" max="10252" width="6.85546875" style="27" bestFit="1" customWidth="1"/>
    <col min="10253" max="10253" width="4.42578125" style="27" bestFit="1" customWidth="1"/>
    <col min="10254" max="10254" width="8.42578125" style="27" bestFit="1" customWidth="1"/>
    <col min="10255" max="10255" width="1.85546875" style="27" bestFit="1" customWidth="1"/>
    <col min="10256" max="10256" width="9.85546875" style="27" bestFit="1" customWidth="1"/>
    <col min="10257" max="10258" width="9" style="27"/>
    <col min="10259" max="10259" width="20.42578125" style="27" bestFit="1" customWidth="1"/>
    <col min="10260" max="10260" width="9.85546875" style="27" bestFit="1" customWidth="1"/>
    <col min="10261" max="10493" width="9" style="27"/>
    <col min="10494" max="10494" width="14.7109375" style="27" bestFit="1" customWidth="1"/>
    <col min="10495" max="10495" width="16" style="27" customWidth="1"/>
    <col min="10496" max="10496" width="12.85546875" style="27" bestFit="1" customWidth="1"/>
    <col min="10497" max="10498" width="10.140625" style="27" bestFit="1" customWidth="1"/>
    <col min="10499" max="10499" width="29.140625" style="27" bestFit="1" customWidth="1"/>
    <col min="10500" max="10500" width="14" style="27" customWidth="1"/>
    <col min="10501" max="10501" width="4.85546875" style="27" bestFit="1" customWidth="1"/>
    <col min="10502" max="10502" width="9.42578125" style="27" customWidth="1"/>
    <col min="10503" max="10503" width="9" style="27"/>
    <col min="10504" max="10504" width="7.85546875" style="27" bestFit="1" customWidth="1"/>
    <col min="10505" max="10505" width="5.85546875" style="27" bestFit="1" customWidth="1"/>
    <col min="10506" max="10506" width="6.140625" style="27" bestFit="1" customWidth="1"/>
    <col min="10507" max="10507" width="4.42578125" style="27" bestFit="1" customWidth="1"/>
    <col min="10508" max="10508" width="6.85546875" style="27" bestFit="1" customWidth="1"/>
    <col min="10509" max="10509" width="4.42578125" style="27" bestFit="1" customWidth="1"/>
    <col min="10510" max="10510" width="8.42578125" style="27" bestFit="1" customWidth="1"/>
    <col min="10511" max="10511" width="1.85546875" style="27" bestFit="1" customWidth="1"/>
    <col min="10512" max="10512" width="9.85546875" style="27" bestFit="1" customWidth="1"/>
    <col min="10513" max="10514" width="9" style="27"/>
    <col min="10515" max="10515" width="20.42578125" style="27" bestFit="1" customWidth="1"/>
    <col min="10516" max="10516" width="9.85546875" style="27" bestFit="1" customWidth="1"/>
    <col min="10517" max="10749" width="9" style="27"/>
    <col min="10750" max="10750" width="14.7109375" style="27" bestFit="1" customWidth="1"/>
    <col min="10751" max="10751" width="16" style="27" customWidth="1"/>
    <col min="10752" max="10752" width="12.85546875" style="27" bestFit="1" customWidth="1"/>
    <col min="10753" max="10754" width="10.140625" style="27" bestFit="1" customWidth="1"/>
    <col min="10755" max="10755" width="29.140625" style="27" bestFit="1" customWidth="1"/>
    <col min="10756" max="10756" width="14" style="27" customWidth="1"/>
    <col min="10757" max="10757" width="4.85546875" style="27" bestFit="1" customWidth="1"/>
    <col min="10758" max="10758" width="9.42578125" style="27" customWidth="1"/>
    <col min="10759" max="10759" width="9" style="27"/>
    <col min="10760" max="10760" width="7.85546875" style="27" bestFit="1" customWidth="1"/>
    <col min="10761" max="10761" width="5.85546875" style="27" bestFit="1" customWidth="1"/>
    <col min="10762" max="10762" width="6.140625" style="27" bestFit="1" customWidth="1"/>
    <col min="10763" max="10763" width="4.42578125" style="27" bestFit="1" customWidth="1"/>
    <col min="10764" max="10764" width="6.85546875" style="27" bestFit="1" customWidth="1"/>
    <col min="10765" max="10765" width="4.42578125" style="27" bestFit="1" customWidth="1"/>
    <col min="10766" max="10766" width="8.42578125" style="27" bestFit="1" customWidth="1"/>
    <col min="10767" max="10767" width="1.85546875" style="27" bestFit="1" customWidth="1"/>
    <col min="10768" max="10768" width="9.85546875" style="27" bestFit="1" customWidth="1"/>
    <col min="10769" max="10770" width="9" style="27"/>
    <col min="10771" max="10771" width="20.42578125" style="27" bestFit="1" customWidth="1"/>
    <col min="10772" max="10772" width="9.85546875" style="27" bestFit="1" customWidth="1"/>
    <col min="10773" max="11005" width="9" style="27"/>
    <col min="11006" max="11006" width="14.7109375" style="27" bestFit="1" customWidth="1"/>
    <col min="11007" max="11007" width="16" style="27" customWidth="1"/>
    <col min="11008" max="11008" width="12.85546875" style="27" bestFit="1" customWidth="1"/>
    <col min="11009" max="11010" width="10.140625" style="27" bestFit="1" customWidth="1"/>
    <col min="11011" max="11011" width="29.140625" style="27" bestFit="1" customWidth="1"/>
    <col min="11012" max="11012" width="14" style="27" customWidth="1"/>
    <col min="11013" max="11013" width="4.85546875" style="27" bestFit="1" customWidth="1"/>
    <col min="11014" max="11014" width="9.42578125" style="27" customWidth="1"/>
    <col min="11015" max="11015" width="9" style="27"/>
    <col min="11016" max="11016" width="7.85546875" style="27" bestFit="1" customWidth="1"/>
    <col min="11017" max="11017" width="5.85546875" style="27" bestFit="1" customWidth="1"/>
    <col min="11018" max="11018" width="6.140625" style="27" bestFit="1" customWidth="1"/>
    <col min="11019" max="11019" width="4.42578125" style="27" bestFit="1" customWidth="1"/>
    <col min="11020" max="11020" width="6.85546875" style="27" bestFit="1" customWidth="1"/>
    <col min="11021" max="11021" width="4.42578125" style="27" bestFit="1" customWidth="1"/>
    <col min="11022" max="11022" width="8.42578125" style="27" bestFit="1" customWidth="1"/>
    <col min="11023" max="11023" width="1.85546875" style="27" bestFit="1" customWidth="1"/>
    <col min="11024" max="11024" width="9.85546875" style="27" bestFit="1" customWidth="1"/>
    <col min="11025" max="11026" width="9" style="27"/>
    <col min="11027" max="11027" width="20.42578125" style="27" bestFit="1" customWidth="1"/>
    <col min="11028" max="11028" width="9.85546875" style="27" bestFit="1" customWidth="1"/>
    <col min="11029" max="11261" width="9" style="27"/>
    <col min="11262" max="11262" width="14.7109375" style="27" bestFit="1" customWidth="1"/>
    <col min="11263" max="11263" width="16" style="27" customWidth="1"/>
    <col min="11264" max="11264" width="12.85546875" style="27" bestFit="1" customWidth="1"/>
    <col min="11265" max="11266" width="10.140625" style="27" bestFit="1" customWidth="1"/>
    <col min="11267" max="11267" width="29.140625" style="27" bestFit="1" customWidth="1"/>
    <col min="11268" max="11268" width="14" style="27" customWidth="1"/>
    <col min="11269" max="11269" width="4.85546875" style="27" bestFit="1" customWidth="1"/>
    <col min="11270" max="11270" width="9.42578125" style="27" customWidth="1"/>
    <col min="11271" max="11271" width="9" style="27"/>
    <col min="11272" max="11272" width="7.85546875" style="27" bestFit="1" customWidth="1"/>
    <col min="11273" max="11273" width="5.85546875" style="27" bestFit="1" customWidth="1"/>
    <col min="11274" max="11274" width="6.140625" style="27" bestFit="1" customWidth="1"/>
    <col min="11275" max="11275" width="4.42578125" style="27" bestFit="1" customWidth="1"/>
    <col min="11276" max="11276" width="6.85546875" style="27" bestFit="1" customWidth="1"/>
    <col min="11277" max="11277" width="4.42578125" style="27" bestFit="1" customWidth="1"/>
    <col min="11278" max="11278" width="8.42578125" style="27" bestFit="1" customWidth="1"/>
    <col min="11279" max="11279" width="1.85546875" style="27" bestFit="1" customWidth="1"/>
    <col min="11280" max="11280" width="9.85546875" style="27" bestFit="1" customWidth="1"/>
    <col min="11281" max="11282" width="9" style="27"/>
    <col min="11283" max="11283" width="20.42578125" style="27" bestFit="1" customWidth="1"/>
    <col min="11284" max="11284" width="9.85546875" style="27" bestFit="1" customWidth="1"/>
    <col min="11285" max="11517" width="9" style="27"/>
    <col min="11518" max="11518" width="14.7109375" style="27" bestFit="1" customWidth="1"/>
    <col min="11519" max="11519" width="16" style="27" customWidth="1"/>
    <col min="11520" max="11520" width="12.85546875" style="27" bestFit="1" customWidth="1"/>
    <col min="11521" max="11522" width="10.140625" style="27" bestFit="1" customWidth="1"/>
    <col min="11523" max="11523" width="29.140625" style="27" bestFit="1" customWidth="1"/>
    <col min="11524" max="11524" width="14" style="27" customWidth="1"/>
    <col min="11525" max="11525" width="4.85546875" style="27" bestFit="1" customWidth="1"/>
    <col min="11526" max="11526" width="9.42578125" style="27" customWidth="1"/>
    <col min="11527" max="11527" width="9" style="27"/>
    <col min="11528" max="11528" width="7.85546875" style="27" bestFit="1" customWidth="1"/>
    <col min="11529" max="11529" width="5.85546875" style="27" bestFit="1" customWidth="1"/>
    <col min="11530" max="11530" width="6.140625" style="27" bestFit="1" customWidth="1"/>
    <col min="11531" max="11531" width="4.42578125" style="27" bestFit="1" customWidth="1"/>
    <col min="11532" max="11532" width="6.85546875" style="27" bestFit="1" customWidth="1"/>
    <col min="11533" max="11533" width="4.42578125" style="27" bestFit="1" customWidth="1"/>
    <col min="11534" max="11534" width="8.42578125" style="27" bestFit="1" customWidth="1"/>
    <col min="11535" max="11535" width="1.85546875" style="27" bestFit="1" customWidth="1"/>
    <col min="11536" max="11536" width="9.85546875" style="27" bestFit="1" customWidth="1"/>
    <col min="11537" max="11538" width="9" style="27"/>
    <col min="11539" max="11539" width="20.42578125" style="27" bestFit="1" customWidth="1"/>
    <col min="11540" max="11540" width="9.85546875" style="27" bestFit="1" customWidth="1"/>
    <col min="11541" max="11773" width="9" style="27"/>
    <col min="11774" max="11774" width="14.7109375" style="27" bestFit="1" customWidth="1"/>
    <col min="11775" max="11775" width="16" style="27" customWidth="1"/>
    <col min="11776" max="11776" width="12.85546875" style="27" bestFit="1" customWidth="1"/>
    <col min="11777" max="11778" width="10.140625" style="27" bestFit="1" customWidth="1"/>
    <col min="11779" max="11779" width="29.140625" style="27" bestFit="1" customWidth="1"/>
    <col min="11780" max="11780" width="14" style="27" customWidth="1"/>
    <col min="11781" max="11781" width="4.85546875" style="27" bestFit="1" customWidth="1"/>
    <col min="11782" max="11782" width="9.42578125" style="27" customWidth="1"/>
    <col min="11783" max="11783" width="9" style="27"/>
    <col min="11784" max="11784" width="7.85546875" style="27" bestFit="1" customWidth="1"/>
    <col min="11785" max="11785" width="5.85546875" style="27" bestFit="1" customWidth="1"/>
    <col min="11786" max="11786" width="6.140625" style="27" bestFit="1" customWidth="1"/>
    <col min="11787" max="11787" width="4.42578125" style="27" bestFit="1" customWidth="1"/>
    <col min="11788" max="11788" width="6.85546875" style="27" bestFit="1" customWidth="1"/>
    <col min="11789" max="11789" width="4.42578125" style="27" bestFit="1" customWidth="1"/>
    <col min="11790" max="11790" width="8.42578125" style="27" bestFit="1" customWidth="1"/>
    <col min="11791" max="11791" width="1.85546875" style="27" bestFit="1" customWidth="1"/>
    <col min="11792" max="11792" width="9.85546875" style="27" bestFit="1" customWidth="1"/>
    <col min="11793" max="11794" width="9" style="27"/>
    <col min="11795" max="11795" width="20.42578125" style="27" bestFit="1" customWidth="1"/>
    <col min="11796" max="11796" width="9.85546875" style="27" bestFit="1" customWidth="1"/>
    <col min="11797" max="12029" width="9" style="27"/>
    <col min="12030" max="12030" width="14.7109375" style="27" bestFit="1" customWidth="1"/>
    <col min="12031" max="12031" width="16" style="27" customWidth="1"/>
    <col min="12032" max="12032" width="12.85546875" style="27" bestFit="1" customWidth="1"/>
    <col min="12033" max="12034" width="10.140625" style="27" bestFit="1" customWidth="1"/>
    <col min="12035" max="12035" width="29.140625" style="27" bestFit="1" customWidth="1"/>
    <col min="12036" max="12036" width="14" style="27" customWidth="1"/>
    <col min="12037" max="12037" width="4.85546875" style="27" bestFit="1" customWidth="1"/>
    <col min="12038" max="12038" width="9.42578125" style="27" customWidth="1"/>
    <col min="12039" max="12039" width="9" style="27"/>
    <col min="12040" max="12040" width="7.85546875" style="27" bestFit="1" customWidth="1"/>
    <col min="12041" max="12041" width="5.85546875" style="27" bestFit="1" customWidth="1"/>
    <col min="12042" max="12042" width="6.140625" style="27" bestFit="1" customWidth="1"/>
    <col min="12043" max="12043" width="4.42578125" style="27" bestFit="1" customWidth="1"/>
    <col min="12044" max="12044" width="6.85546875" style="27" bestFit="1" customWidth="1"/>
    <col min="12045" max="12045" width="4.42578125" style="27" bestFit="1" customWidth="1"/>
    <col min="12046" max="12046" width="8.42578125" style="27" bestFit="1" customWidth="1"/>
    <col min="12047" max="12047" width="1.85546875" style="27" bestFit="1" customWidth="1"/>
    <col min="12048" max="12048" width="9.85546875" style="27" bestFit="1" customWidth="1"/>
    <col min="12049" max="12050" width="9" style="27"/>
    <col min="12051" max="12051" width="20.42578125" style="27" bestFit="1" customWidth="1"/>
    <col min="12052" max="12052" width="9.85546875" style="27" bestFit="1" customWidth="1"/>
    <col min="12053" max="12285" width="9" style="27"/>
    <col min="12286" max="12286" width="14.7109375" style="27" bestFit="1" customWidth="1"/>
    <col min="12287" max="12287" width="16" style="27" customWidth="1"/>
    <col min="12288" max="12288" width="12.85546875" style="27" bestFit="1" customWidth="1"/>
    <col min="12289" max="12290" width="10.140625" style="27" bestFit="1" customWidth="1"/>
    <col min="12291" max="12291" width="29.140625" style="27" bestFit="1" customWidth="1"/>
    <col min="12292" max="12292" width="14" style="27" customWidth="1"/>
    <col min="12293" max="12293" width="4.85546875" style="27" bestFit="1" customWidth="1"/>
    <col min="12294" max="12294" width="9.42578125" style="27" customWidth="1"/>
    <col min="12295" max="12295" width="9" style="27"/>
    <col min="12296" max="12296" width="7.85546875" style="27" bestFit="1" customWidth="1"/>
    <col min="12297" max="12297" width="5.85546875" style="27" bestFit="1" customWidth="1"/>
    <col min="12298" max="12298" width="6.140625" style="27" bestFit="1" customWidth="1"/>
    <col min="12299" max="12299" width="4.42578125" style="27" bestFit="1" customWidth="1"/>
    <col min="12300" max="12300" width="6.85546875" style="27" bestFit="1" customWidth="1"/>
    <col min="12301" max="12301" width="4.42578125" style="27" bestFit="1" customWidth="1"/>
    <col min="12302" max="12302" width="8.42578125" style="27" bestFit="1" customWidth="1"/>
    <col min="12303" max="12303" width="1.85546875" style="27" bestFit="1" customWidth="1"/>
    <col min="12304" max="12304" width="9.85546875" style="27" bestFit="1" customWidth="1"/>
    <col min="12305" max="12306" width="9" style="27"/>
    <col min="12307" max="12307" width="20.42578125" style="27" bestFit="1" customWidth="1"/>
    <col min="12308" max="12308" width="9.85546875" style="27" bestFit="1" customWidth="1"/>
    <col min="12309" max="12541" width="9" style="27"/>
    <col min="12542" max="12542" width="14.7109375" style="27" bestFit="1" customWidth="1"/>
    <col min="12543" max="12543" width="16" style="27" customWidth="1"/>
    <col min="12544" max="12544" width="12.85546875" style="27" bestFit="1" customWidth="1"/>
    <col min="12545" max="12546" width="10.140625" style="27" bestFit="1" customWidth="1"/>
    <col min="12547" max="12547" width="29.140625" style="27" bestFit="1" customWidth="1"/>
    <col min="12548" max="12548" width="14" style="27" customWidth="1"/>
    <col min="12549" max="12549" width="4.85546875" style="27" bestFit="1" customWidth="1"/>
    <col min="12550" max="12550" width="9.42578125" style="27" customWidth="1"/>
    <col min="12551" max="12551" width="9" style="27"/>
    <col min="12552" max="12552" width="7.85546875" style="27" bestFit="1" customWidth="1"/>
    <col min="12553" max="12553" width="5.85546875" style="27" bestFit="1" customWidth="1"/>
    <col min="12554" max="12554" width="6.140625" style="27" bestFit="1" customWidth="1"/>
    <col min="12555" max="12555" width="4.42578125" style="27" bestFit="1" customWidth="1"/>
    <col min="12556" max="12556" width="6.85546875" style="27" bestFit="1" customWidth="1"/>
    <col min="12557" max="12557" width="4.42578125" style="27" bestFit="1" customWidth="1"/>
    <col min="12558" max="12558" width="8.42578125" style="27" bestFit="1" customWidth="1"/>
    <col min="12559" max="12559" width="1.85546875" style="27" bestFit="1" customWidth="1"/>
    <col min="12560" max="12560" width="9.85546875" style="27" bestFit="1" customWidth="1"/>
    <col min="12561" max="12562" width="9" style="27"/>
    <col min="12563" max="12563" width="20.42578125" style="27" bestFit="1" customWidth="1"/>
    <col min="12564" max="12564" width="9.85546875" style="27" bestFit="1" customWidth="1"/>
    <col min="12565" max="12797" width="9" style="27"/>
    <col min="12798" max="12798" width="14.7109375" style="27" bestFit="1" customWidth="1"/>
    <col min="12799" max="12799" width="16" style="27" customWidth="1"/>
    <col min="12800" max="12800" width="12.85546875" style="27" bestFit="1" customWidth="1"/>
    <col min="12801" max="12802" width="10.140625" style="27" bestFit="1" customWidth="1"/>
    <col min="12803" max="12803" width="29.140625" style="27" bestFit="1" customWidth="1"/>
    <col min="12804" max="12804" width="14" style="27" customWidth="1"/>
    <col min="12805" max="12805" width="4.85546875" style="27" bestFit="1" customWidth="1"/>
    <col min="12806" max="12806" width="9.42578125" style="27" customWidth="1"/>
    <col min="12807" max="12807" width="9" style="27"/>
    <col min="12808" max="12808" width="7.85546875" style="27" bestFit="1" customWidth="1"/>
    <col min="12809" max="12809" width="5.85546875" style="27" bestFit="1" customWidth="1"/>
    <col min="12810" max="12810" width="6.140625" style="27" bestFit="1" customWidth="1"/>
    <col min="12811" max="12811" width="4.42578125" style="27" bestFit="1" customWidth="1"/>
    <col min="12812" max="12812" width="6.85546875" style="27" bestFit="1" customWidth="1"/>
    <col min="12813" max="12813" width="4.42578125" style="27" bestFit="1" customWidth="1"/>
    <col min="12814" max="12814" width="8.42578125" style="27" bestFit="1" customWidth="1"/>
    <col min="12815" max="12815" width="1.85546875" style="27" bestFit="1" customWidth="1"/>
    <col min="12816" max="12816" width="9.85546875" style="27" bestFit="1" customWidth="1"/>
    <col min="12817" max="12818" width="9" style="27"/>
    <col min="12819" max="12819" width="20.42578125" style="27" bestFit="1" customWidth="1"/>
    <col min="12820" max="12820" width="9.85546875" style="27" bestFit="1" customWidth="1"/>
    <col min="12821" max="13053" width="9" style="27"/>
    <col min="13054" max="13054" width="14.7109375" style="27" bestFit="1" customWidth="1"/>
    <col min="13055" max="13055" width="16" style="27" customWidth="1"/>
    <col min="13056" max="13056" width="12.85546875" style="27" bestFit="1" customWidth="1"/>
    <col min="13057" max="13058" width="10.140625" style="27" bestFit="1" customWidth="1"/>
    <col min="13059" max="13059" width="29.140625" style="27" bestFit="1" customWidth="1"/>
    <col min="13060" max="13060" width="14" style="27" customWidth="1"/>
    <col min="13061" max="13061" width="4.85546875" style="27" bestFit="1" customWidth="1"/>
    <col min="13062" max="13062" width="9.42578125" style="27" customWidth="1"/>
    <col min="13063" max="13063" width="9" style="27"/>
    <col min="13064" max="13064" width="7.85546875" style="27" bestFit="1" customWidth="1"/>
    <col min="13065" max="13065" width="5.85546875" style="27" bestFit="1" customWidth="1"/>
    <col min="13066" max="13066" width="6.140625" style="27" bestFit="1" customWidth="1"/>
    <col min="13067" max="13067" width="4.42578125" style="27" bestFit="1" customWidth="1"/>
    <col min="13068" max="13068" width="6.85546875" style="27" bestFit="1" customWidth="1"/>
    <col min="13069" max="13069" width="4.42578125" style="27" bestFit="1" customWidth="1"/>
    <col min="13070" max="13070" width="8.42578125" style="27" bestFit="1" customWidth="1"/>
    <col min="13071" max="13071" width="1.85546875" style="27" bestFit="1" customWidth="1"/>
    <col min="13072" max="13072" width="9.85546875" style="27" bestFit="1" customWidth="1"/>
    <col min="13073" max="13074" width="9" style="27"/>
    <col min="13075" max="13075" width="20.42578125" style="27" bestFit="1" customWidth="1"/>
    <col min="13076" max="13076" width="9.85546875" style="27" bestFit="1" customWidth="1"/>
    <col min="13077" max="13309" width="9" style="27"/>
    <col min="13310" max="13310" width="14.7109375" style="27" bestFit="1" customWidth="1"/>
    <col min="13311" max="13311" width="16" style="27" customWidth="1"/>
    <col min="13312" max="13312" width="12.85546875" style="27" bestFit="1" customWidth="1"/>
    <col min="13313" max="13314" width="10.140625" style="27" bestFit="1" customWidth="1"/>
    <col min="13315" max="13315" width="29.140625" style="27" bestFit="1" customWidth="1"/>
    <col min="13316" max="13316" width="14" style="27" customWidth="1"/>
    <col min="13317" max="13317" width="4.85546875" style="27" bestFit="1" customWidth="1"/>
    <col min="13318" max="13318" width="9.42578125" style="27" customWidth="1"/>
    <col min="13319" max="13319" width="9" style="27"/>
    <col min="13320" max="13320" width="7.85546875" style="27" bestFit="1" customWidth="1"/>
    <col min="13321" max="13321" width="5.85546875" style="27" bestFit="1" customWidth="1"/>
    <col min="13322" max="13322" width="6.140625" style="27" bestFit="1" customWidth="1"/>
    <col min="13323" max="13323" width="4.42578125" style="27" bestFit="1" customWidth="1"/>
    <col min="13324" max="13324" width="6.85546875" style="27" bestFit="1" customWidth="1"/>
    <col min="13325" max="13325" width="4.42578125" style="27" bestFit="1" customWidth="1"/>
    <col min="13326" max="13326" width="8.42578125" style="27" bestFit="1" customWidth="1"/>
    <col min="13327" max="13327" width="1.85546875" style="27" bestFit="1" customWidth="1"/>
    <col min="13328" max="13328" width="9.85546875" style="27" bestFit="1" customWidth="1"/>
    <col min="13329" max="13330" width="9" style="27"/>
    <col min="13331" max="13331" width="20.42578125" style="27" bestFit="1" customWidth="1"/>
    <col min="13332" max="13332" width="9.85546875" style="27" bestFit="1" customWidth="1"/>
    <col min="13333" max="13565" width="9" style="27"/>
    <col min="13566" max="13566" width="14.7109375" style="27" bestFit="1" customWidth="1"/>
    <col min="13567" max="13567" width="16" style="27" customWidth="1"/>
    <col min="13568" max="13568" width="12.85546875" style="27" bestFit="1" customWidth="1"/>
    <col min="13569" max="13570" width="10.140625" style="27" bestFit="1" customWidth="1"/>
    <col min="13571" max="13571" width="29.140625" style="27" bestFit="1" customWidth="1"/>
    <col min="13572" max="13572" width="14" style="27" customWidth="1"/>
    <col min="13573" max="13573" width="4.85546875" style="27" bestFit="1" customWidth="1"/>
    <col min="13574" max="13574" width="9.42578125" style="27" customWidth="1"/>
    <col min="13575" max="13575" width="9" style="27"/>
    <col min="13576" max="13576" width="7.85546875" style="27" bestFit="1" customWidth="1"/>
    <col min="13577" max="13577" width="5.85546875" style="27" bestFit="1" customWidth="1"/>
    <col min="13578" max="13578" width="6.140625" style="27" bestFit="1" customWidth="1"/>
    <col min="13579" max="13579" width="4.42578125" style="27" bestFit="1" customWidth="1"/>
    <col min="13580" max="13580" width="6.85546875" style="27" bestFit="1" customWidth="1"/>
    <col min="13581" max="13581" width="4.42578125" style="27" bestFit="1" customWidth="1"/>
    <col min="13582" max="13582" width="8.42578125" style="27" bestFit="1" customWidth="1"/>
    <col min="13583" max="13583" width="1.85546875" style="27" bestFit="1" customWidth="1"/>
    <col min="13584" max="13584" width="9.85546875" style="27" bestFit="1" customWidth="1"/>
    <col min="13585" max="13586" width="9" style="27"/>
    <col min="13587" max="13587" width="20.42578125" style="27" bestFit="1" customWidth="1"/>
    <col min="13588" max="13588" width="9.85546875" style="27" bestFit="1" customWidth="1"/>
    <col min="13589" max="13821" width="9" style="27"/>
    <col min="13822" max="13822" width="14.7109375" style="27" bestFit="1" customWidth="1"/>
    <col min="13823" max="13823" width="16" style="27" customWidth="1"/>
    <col min="13824" max="13824" width="12.85546875" style="27" bestFit="1" customWidth="1"/>
    <col min="13825" max="13826" width="10.140625" style="27" bestFit="1" customWidth="1"/>
    <col min="13827" max="13827" width="29.140625" style="27" bestFit="1" customWidth="1"/>
    <col min="13828" max="13828" width="14" style="27" customWidth="1"/>
    <col min="13829" max="13829" width="4.85546875" style="27" bestFit="1" customWidth="1"/>
    <col min="13830" max="13830" width="9.42578125" style="27" customWidth="1"/>
    <col min="13831" max="13831" width="9" style="27"/>
    <col min="13832" max="13832" width="7.85546875" style="27" bestFit="1" customWidth="1"/>
    <col min="13833" max="13833" width="5.85546875" style="27" bestFit="1" customWidth="1"/>
    <col min="13834" max="13834" width="6.140625" style="27" bestFit="1" customWidth="1"/>
    <col min="13835" max="13835" width="4.42578125" style="27" bestFit="1" customWidth="1"/>
    <col min="13836" max="13836" width="6.85546875" style="27" bestFit="1" customWidth="1"/>
    <col min="13837" max="13837" width="4.42578125" style="27" bestFit="1" customWidth="1"/>
    <col min="13838" max="13838" width="8.42578125" style="27" bestFit="1" customWidth="1"/>
    <col min="13839" max="13839" width="1.85546875" style="27" bestFit="1" customWidth="1"/>
    <col min="13840" max="13840" width="9.85546875" style="27" bestFit="1" customWidth="1"/>
    <col min="13841" max="13842" width="9" style="27"/>
    <col min="13843" max="13843" width="20.42578125" style="27" bestFit="1" customWidth="1"/>
    <col min="13844" max="13844" width="9.85546875" style="27" bestFit="1" customWidth="1"/>
    <col min="13845" max="14077" width="9" style="27"/>
    <col min="14078" max="14078" width="14.7109375" style="27" bestFit="1" customWidth="1"/>
    <col min="14079" max="14079" width="16" style="27" customWidth="1"/>
    <col min="14080" max="14080" width="12.85546875" style="27" bestFit="1" customWidth="1"/>
    <col min="14081" max="14082" width="10.140625" style="27" bestFit="1" customWidth="1"/>
    <col min="14083" max="14083" width="29.140625" style="27" bestFit="1" customWidth="1"/>
    <col min="14084" max="14084" width="14" style="27" customWidth="1"/>
    <col min="14085" max="14085" width="4.85546875" style="27" bestFit="1" customWidth="1"/>
    <col min="14086" max="14086" width="9.42578125" style="27" customWidth="1"/>
    <col min="14087" max="14087" width="9" style="27"/>
    <col min="14088" max="14088" width="7.85546875" style="27" bestFit="1" customWidth="1"/>
    <col min="14089" max="14089" width="5.85546875" style="27" bestFit="1" customWidth="1"/>
    <col min="14090" max="14090" width="6.140625" style="27" bestFit="1" customWidth="1"/>
    <col min="14091" max="14091" width="4.42578125" style="27" bestFit="1" customWidth="1"/>
    <col min="14092" max="14092" width="6.85546875" style="27" bestFit="1" customWidth="1"/>
    <col min="14093" max="14093" width="4.42578125" style="27" bestFit="1" customWidth="1"/>
    <col min="14094" max="14094" width="8.42578125" style="27" bestFit="1" customWidth="1"/>
    <col min="14095" max="14095" width="1.85546875" style="27" bestFit="1" customWidth="1"/>
    <col min="14096" max="14096" width="9.85546875" style="27" bestFit="1" customWidth="1"/>
    <col min="14097" max="14098" width="9" style="27"/>
    <col min="14099" max="14099" width="20.42578125" style="27" bestFit="1" customWidth="1"/>
    <col min="14100" max="14100" width="9.85546875" style="27" bestFit="1" customWidth="1"/>
    <col min="14101" max="14333" width="9" style="27"/>
    <col min="14334" max="14334" width="14.7109375" style="27" bestFit="1" customWidth="1"/>
    <col min="14335" max="14335" width="16" style="27" customWidth="1"/>
    <col min="14336" max="14336" width="12.85546875" style="27" bestFit="1" customWidth="1"/>
    <col min="14337" max="14338" width="10.140625" style="27" bestFit="1" customWidth="1"/>
    <col min="14339" max="14339" width="29.140625" style="27" bestFit="1" customWidth="1"/>
    <col min="14340" max="14340" width="14" style="27" customWidth="1"/>
    <col min="14341" max="14341" width="4.85546875" style="27" bestFit="1" customWidth="1"/>
    <col min="14342" max="14342" width="9.42578125" style="27" customWidth="1"/>
    <col min="14343" max="14343" width="9" style="27"/>
    <col min="14344" max="14344" width="7.85546875" style="27" bestFit="1" customWidth="1"/>
    <col min="14345" max="14345" width="5.85546875" style="27" bestFit="1" customWidth="1"/>
    <col min="14346" max="14346" width="6.140625" style="27" bestFit="1" customWidth="1"/>
    <col min="14347" max="14347" width="4.42578125" style="27" bestFit="1" customWidth="1"/>
    <col min="14348" max="14348" width="6.85546875" style="27" bestFit="1" customWidth="1"/>
    <col min="14349" max="14349" width="4.42578125" style="27" bestFit="1" customWidth="1"/>
    <col min="14350" max="14350" width="8.42578125" style="27" bestFit="1" customWidth="1"/>
    <col min="14351" max="14351" width="1.85546875" style="27" bestFit="1" customWidth="1"/>
    <col min="14352" max="14352" width="9.85546875" style="27" bestFit="1" customWidth="1"/>
    <col min="14353" max="14354" width="9" style="27"/>
    <col min="14355" max="14355" width="20.42578125" style="27" bestFit="1" customWidth="1"/>
    <col min="14356" max="14356" width="9.85546875" style="27" bestFit="1" customWidth="1"/>
    <col min="14357" max="14589" width="9" style="27"/>
    <col min="14590" max="14590" width="14.7109375" style="27" bestFit="1" customWidth="1"/>
    <col min="14591" max="14591" width="16" style="27" customWidth="1"/>
    <col min="14592" max="14592" width="12.85546875" style="27" bestFit="1" customWidth="1"/>
    <col min="14593" max="14594" width="10.140625" style="27" bestFit="1" customWidth="1"/>
    <col min="14595" max="14595" width="29.140625" style="27" bestFit="1" customWidth="1"/>
    <col min="14596" max="14596" width="14" style="27" customWidth="1"/>
    <col min="14597" max="14597" width="4.85546875" style="27" bestFit="1" customWidth="1"/>
    <col min="14598" max="14598" width="9.42578125" style="27" customWidth="1"/>
    <col min="14599" max="14599" width="9" style="27"/>
    <col min="14600" max="14600" width="7.85546875" style="27" bestFit="1" customWidth="1"/>
    <col min="14601" max="14601" width="5.85546875" style="27" bestFit="1" customWidth="1"/>
    <col min="14602" max="14602" width="6.140625" style="27" bestFit="1" customWidth="1"/>
    <col min="14603" max="14603" width="4.42578125" style="27" bestFit="1" customWidth="1"/>
    <col min="14604" max="14604" width="6.85546875" style="27" bestFit="1" customWidth="1"/>
    <col min="14605" max="14605" width="4.42578125" style="27" bestFit="1" customWidth="1"/>
    <col min="14606" max="14606" width="8.42578125" style="27" bestFit="1" customWidth="1"/>
    <col min="14607" max="14607" width="1.85546875" style="27" bestFit="1" customWidth="1"/>
    <col min="14608" max="14608" width="9.85546875" style="27" bestFit="1" customWidth="1"/>
    <col min="14609" max="14610" width="9" style="27"/>
    <col min="14611" max="14611" width="20.42578125" style="27" bestFit="1" customWidth="1"/>
    <col min="14612" max="14612" width="9.85546875" style="27" bestFit="1" customWidth="1"/>
    <col min="14613" max="14845" width="9" style="27"/>
    <col min="14846" max="14846" width="14.7109375" style="27" bestFit="1" customWidth="1"/>
    <col min="14847" max="14847" width="16" style="27" customWidth="1"/>
    <col min="14848" max="14848" width="12.85546875" style="27" bestFit="1" customWidth="1"/>
    <col min="14849" max="14850" width="10.140625" style="27" bestFit="1" customWidth="1"/>
    <col min="14851" max="14851" width="29.140625" style="27" bestFit="1" customWidth="1"/>
    <col min="14852" max="14852" width="14" style="27" customWidth="1"/>
    <col min="14853" max="14853" width="4.85546875" style="27" bestFit="1" customWidth="1"/>
    <col min="14854" max="14854" width="9.42578125" style="27" customWidth="1"/>
    <col min="14855" max="14855" width="9" style="27"/>
    <col min="14856" max="14856" width="7.85546875" style="27" bestFit="1" customWidth="1"/>
    <col min="14857" max="14857" width="5.85546875" style="27" bestFit="1" customWidth="1"/>
    <col min="14858" max="14858" width="6.140625" style="27" bestFit="1" customWidth="1"/>
    <col min="14859" max="14859" width="4.42578125" style="27" bestFit="1" customWidth="1"/>
    <col min="14860" max="14860" width="6.85546875" style="27" bestFit="1" customWidth="1"/>
    <col min="14861" max="14861" width="4.42578125" style="27" bestFit="1" customWidth="1"/>
    <col min="14862" max="14862" width="8.42578125" style="27" bestFit="1" customWidth="1"/>
    <col min="14863" max="14863" width="1.85546875" style="27" bestFit="1" customWidth="1"/>
    <col min="14864" max="14864" width="9.85546875" style="27" bestFit="1" customWidth="1"/>
    <col min="14865" max="14866" width="9" style="27"/>
    <col min="14867" max="14867" width="20.42578125" style="27" bestFit="1" customWidth="1"/>
    <col min="14868" max="14868" width="9.85546875" style="27" bestFit="1" customWidth="1"/>
    <col min="14869" max="15101" width="9" style="27"/>
    <col min="15102" max="15102" width="14.7109375" style="27" bestFit="1" customWidth="1"/>
    <col min="15103" max="15103" width="16" style="27" customWidth="1"/>
    <col min="15104" max="15104" width="12.85546875" style="27" bestFit="1" customWidth="1"/>
    <col min="15105" max="15106" width="10.140625" style="27" bestFit="1" customWidth="1"/>
    <col min="15107" max="15107" width="29.140625" style="27" bestFit="1" customWidth="1"/>
    <col min="15108" max="15108" width="14" style="27" customWidth="1"/>
    <col min="15109" max="15109" width="4.85546875" style="27" bestFit="1" customWidth="1"/>
    <col min="15110" max="15110" width="9.42578125" style="27" customWidth="1"/>
    <col min="15111" max="15111" width="9" style="27"/>
    <col min="15112" max="15112" width="7.85546875" style="27" bestFit="1" customWidth="1"/>
    <col min="15113" max="15113" width="5.85546875" style="27" bestFit="1" customWidth="1"/>
    <col min="15114" max="15114" width="6.140625" style="27" bestFit="1" customWidth="1"/>
    <col min="15115" max="15115" width="4.42578125" style="27" bestFit="1" customWidth="1"/>
    <col min="15116" max="15116" width="6.85546875" style="27" bestFit="1" customWidth="1"/>
    <col min="15117" max="15117" width="4.42578125" style="27" bestFit="1" customWidth="1"/>
    <col min="15118" max="15118" width="8.42578125" style="27" bestFit="1" customWidth="1"/>
    <col min="15119" max="15119" width="1.85546875" style="27" bestFit="1" customWidth="1"/>
    <col min="15120" max="15120" width="9.85546875" style="27" bestFit="1" customWidth="1"/>
    <col min="15121" max="15122" width="9" style="27"/>
    <col min="15123" max="15123" width="20.42578125" style="27" bestFit="1" customWidth="1"/>
    <col min="15124" max="15124" width="9.85546875" style="27" bestFit="1" customWidth="1"/>
    <col min="15125" max="15357" width="9" style="27"/>
    <col min="15358" max="15358" width="14.7109375" style="27" bestFit="1" customWidth="1"/>
    <col min="15359" max="15359" width="16" style="27" customWidth="1"/>
    <col min="15360" max="15360" width="12.85546875" style="27" bestFit="1" customWidth="1"/>
    <col min="15361" max="15362" width="10.140625" style="27" bestFit="1" customWidth="1"/>
    <col min="15363" max="15363" width="29.140625" style="27" bestFit="1" customWidth="1"/>
    <col min="15364" max="15364" width="14" style="27" customWidth="1"/>
    <col min="15365" max="15365" width="4.85546875" style="27" bestFit="1" customWidth="1"/>
    <col min="15366" max="15366" width="9.42578125" style="27" customWidth="1"/>
    <col min="15367" max="15367" width="9" style="27"/>
    <col min="15368" max="15368" width="7.85546875" style="27" bestFit="1" customWidth="1"/>
    <col min="15369" max="15369" width="5.85546875" style="27" bestFit="1" customWidth="1"/>
    <col min="15370" max="15370" width="6.140625" style="27" bestFit="1" customWidth="1"/>
    <col min="15371" max="15371" width="4.42578125" style="27" bestFit="1" customWidth="1"/>
    <col min="15372" max="15372" width="6.85546875" style="27" bestFit="1" customWidth="1"/>
    <col min="15373" max="15373" width="4.42578125" style="27" bestFit="1" customWidth="1"/>
    <col min="15374" max="15374" width="8.42578125" style="27" bestFit="1" customWidth="1"/>
    <col min="15375" max="15375" width="1.85546875" style="27" bestFit="1" customWidth="1"/>
    <col min="15376" max="15376" width="9.85546875" style="27" bestFit="1" customWidth="1"/>
    <col min="15377" max="15378" width="9" style="27"/>
    <col min="15379" max="15379" width="20.42578125" style="27" bestFit="1" customWidth="1"/>
    <col min="15380" max="15380" width="9.85546875" style="27" bestFit="1" customWidth="1"/>
    <col min="15381" max="15613" width="9" style="27"/>
    <col min="15614" max="15614" width="14.7109375" style="27" bestFit="1" customWidth="1"/>
    <col min="15615" max="15615" width="16" style="27" customWidth="1"/>
    <col min="15616" max="15616" width="12.85546875" style="27" bestFit="1" customWidth="1"/>
    <col min="15617" max="15618" width="10.140625" style="27" bestFit="1" customWidth="1"/>
    <col min="15619" max="15619" width="29.140625" style="27" bestFit="1" customWidth="1"/>
    <col min="15620" max="15620" width="14" style="27" customWidth="1"/>
    <col min="15621" max="15621" width="4.85546875" style="27" bestFit="1" customWidth="1"/>
    <col min="15622" max="15622" width="9.42578125" style="27" customWidth="1"/>
    <col min="15623" max="15623" width="9" style="27"/>
    <col min="15624" max="15624" width="7.85546875" style="27" bestFit="1" customWidth="1"/>
    <col min="15625" max="15625" width="5.85546875" style="27" bestFit="1" customWidth="1"/>
    <col min="15626" max="15626" width="6.140625" style="27" bestFit="1" customWidth="1"/>
    <col min="15627" max="15627" width="4.42578125" style="27" bestFit="1" customWidth="1"/>
    <col min="15628" max="15628" width="6.85546875" style="27" bestFit="1" customWidth="1"/>
    <col min="15629" max="15629" width="4.42578125" style="27" bestFit="1" customWidth="1"/>
    <col min="15630" max="15630" width="8.42578125" style="27" bestFit="1" customWidth="1"/>
    <col min="15631" max="15631" width="1.85546875" style="27" bestFit="1" customWidth="1"/>
    <col min="15632" max="15632" width="9.85546875" style="27" bestFit="1" customWidth="1"/>
    <col min="15633" max="15634" width="9" style="27"/>
    <col min="15635" max="15635" width="20.42578125" style="27" bestFit="1" customWidth="1"/>
    <col min="15636" max="15636" width="9.85546875" style="27" bestFit="1" customWidth="1"/>
    <col min="15637" max="15869" width="9" style="27"/>
    <col min="15870" max="15870" width="14.7109375" style="27" bestFit="1" customWidth="1"/>
    <col min="15871" max="15871" width="16" style="27" customWidth="1"/>
    <col min="15872" max="15872" width="12.85546875" style="27" bestFit="1" customWidth="1"/>
    <col min="15873" max="15874" width="10.140625" style="27" bestFit="1" customWidth="1"/>
    <col min="15875" max="15875" width="29.140625" style="27" bestFit="1" customWidth="1"/>
    <col min="15876" max="15876" width="14" style="27" customWidth="1"/>
    <col min="15877" max="15877" width="4.85546875" style="27" bestFit="1" customWidth="1"/>
    <col min="15878" max="15878" width="9.42578125" style="27" customWidth="1"/>
    <col min="15879" max="15879" width="9" style="27"/>
    <col min="15880" max="15880" width="7.85546875" style="27" bestFit="1" customWidth="1"/>
    <col min="15881" max="15881" width="5.85546875" style="27" bestFit="1" customWidth="1"/>
    <col min="15882" max="15882" width="6.140625" style="27" bestFit="1" customWidth="1"/>
    <col min="15883" max="15883" width="4.42578125" style="27" bestFit="1" customWidth="1"/>
    <col min="15884" max="15884" width="6.85546875" style="27" bestFit="1" customWidth="1"/>
    <col min="15885" max="15885" width="4.42578125" style="27" bestFit="1" customWidth="1"/>
    <col min="15886" max="15886" width="8.42578125" style="27" bestFit="1" customWidth="1"/>
    <col min="15887" max="15887" width="1.85546875" style="27" bestFit="1" customWidth="1"/>
    <col min="15888" max="15888" width="9.85546875" style="27" bestFit="1" customWidth="1"/>
    <col min="15889" max="15890" width="9" style="27"/>
    <col min="15891" max="15891" width="20.42578125" style="27" bestFit="1" customWidth="1"/>
    <col min="15892" max="15892" width="9.85546875" style="27" bestFit="1" customWidth="1"/>
    <col min="15893" max="16125" width="9" style="27"/>
    <col min="16126" max="16126" width="14.7109375" style="27" bestFit="1" customWidth="1"/>
    <col min="16127" max="16127" width="16" style="27" customWidth="1"/>
    <col min="16128" max="16128" width="12.85546875" style="27" bestFit="1" customWidth="1"/>
    <col min="16129" max="16130" width="10.140625" style="27" bestFit="1" customWidth="1"/>
    <col min="16131" max="16131" width="29.140625" style="27" bestFit="1" customWidth="1"/>
    <col min="16132" max="16132" width="14" style="27" customWidth="1"/>
    <col min="16133" max="16133" width="4.85546875" style="27" bestFit="1" customWidth="1"/>
    <col min="16134" max="16134" width="9.42578125" style="27" customWidth="1"/>
    <col min="16135" max="16135" width="9" style="27"/>
    <col min="16136" max="16136" width="7.85546875" style="27" bestFit="1" customWidth="1"/>
    <col min="16137" max="16137" width="5.85546875" style="27" bestFit="1" customWidth="1"/>
    <col min="16138" max="16138" width="6.140625" style="27" bestFit="1" customWidth="1"/>
    <col min="16139" max="16139" width="4.42578125" style="27" bestFit="1" customWidth="1"/>
    <col min="16140" max="16140" width="6.85546875" style="27" bestFit="1" customWidth="1"/>
    <col min="16141" max="16141" width="4.42578125" style="27" bestFit="1" customWidth="1"/>
    <col min="16142" max="16142" width="8.42578125" style="27" bestFit="1" customWidth="1"/>
    <col min="16143" max="16143" width="1.85546875" style="27" bestFit="1" customWidth="1"/>
    <col min="16144" max="16144" width="9.85546875" style="27" bestFit="1" customWidth="1"/>
    <col min="16145" max="16146" width="9" style="27"/>
    <col min="16147" max="16147" width="20.42578125" style="27" bestFit="1" customWidth="1"/>
    <col min="16148" max="16148" width="9.85546875" style="27" bestFit="1" customWidth="1"/>
    <col min="16149" max="16381" width="9" style="27"/>
    <col min="16382" max="16384" width="9" style="27" customWidth="1"/>
  </cols>
  <sheetData>
    <row r="1" spans="1:17" ht="17.25" customHeight="1" thickTop="1" thickBot="1">
      <c r="A1" s="240" t="s">
        <v>31</v>
      </c>
      <c r="B1" s="40">
        <v>120000</v>
      </c>
      <c r="C1" s="40">
        <v>200000</v>
      </c>
      <c r="D1" s="215" t="s">
        <v>32</v>
      </c>
      <c r="E1" s="215"/>
      <c r="F1" s="41"/>
      <c r="G1" s="41"/>
      <c r="H1" s="42"/>
      <c r="I1" s="27">
        <v>2017</v>
      </c>
      <c r="J1" s="27" t="s">
        <v>57</v>
      </c>
    </row>
    <row r="2" spans="1:17" ht="17.25" thickTop="1" thickBot="1">
      <c r="A2" s="234"/>
      <c r="B2" s="43">
        <f>IF(B1&lt;=7200,"0",IF(B1&lt;=30000,(B1-7200)*0.1*0.2,IF(B1&lt;=45000,(B1-30000)*0.15*0.6+2280*0.6,IF(B1&lt;=200000,(B1-45000)*0.2*0.95+4530*0.95,IF(B1&gt;200000,(B1-200000)*0.225+35530,"000")))))</f>
        <v>18553.5</v>
      </c>
      <c r="C2" s="44">
        <f>IF(C1&lt;=7200,"0",IF(C1&lt;=30000,((C1*0.1)-720)*20%,IF(C1&lt;=45000,((C1*0.15)-2220)*60%,IF(C1&lt;=200000,((C1*0.2)-4470)*95%,IF(C1&gt;200000,(C1*22.5%)-9470,"000")))))</f>
        <v>33753.5</v>
      </c>
      <c r="D2" s="18" t="s">
        <v>35</v>
      </c>
      <c r="E2" s="18" t="s">
        <v>0</v>
      </c>
      <c r="F2" s="19" t="s">
        <v>36</v>
      </c>
      <c r="G2" s="41"/>
      <c r="H2" s="42"/>
    </row>
    <row r="3" spans="1:17" ht="17.25" thickTop="1" thickBot="1">
      <c r="A3" s="41"/>
      <c r="B3" s="40"/>
      <c r="C3" s="40"/>
      <c r="D3" s="18">
        <v>0</v>
      </c>
      <c r="E3" s="18">
        <v>7200</v>
      </c>
      <c r="F3" s="18" t="s">
        <v>38</v>
      </c>
      <c r="G3" s="41"/>
      <c r="H3" s="42"/>
      <c r="K3" s="232" t="s">
        <v>100</v>
      </c>
      <c r="L3" s="232"/>
      <c r="M3" s="232"/>
      <c r="N3" s="232"/>
      <c r="O3" s="232"/>
      <c r="P3" s="232"/>
    </row>
    <row r="4" spans="1:17" ht="17.25" thickTop="1" thickBot="1">
      <c r="A4" s="236" t="s">
        <v>39</v>
      </c>
      <c r="B4" s="41" t="s">
        <v>42</v>
      </c>
      <c r="C4" s="46">
        <f>+C2</f>
        <v>33753.5</v>
      </c>
      <c r="D4" s="18">
        <v>7201</v>
      </c>
      <c r="E4" s="18">
        <v>30000</v>
      </c>
      <c r="F4" s="22" t="s">
        <v>66</v>
      </c>
      <c r="G4" s="41" t="s">
        <v>67</v>
      </c>
      <c r="H4" s="42"/>
      <c r="K4" s="232"/>
      <c r="L4" s="232"/>
      <c r="M4" s="232"/>
      <c r="N4" s="232"/>
      <c r="O4" s="232"/>
      <c r="P4" s="232"/>
    </row>
    <row r="5" spans="1:17" ht="17.25" thickTop="1" thickBot="1">
      <c r="A5" s="237"/>
      <c r="B5" s="41" t="s">
        <v>42</v>
      </c>
      <c r="C5" s="47">
        <f>IF(C4&lt;=2350,(C4/0.2+720)/0.1,IF(C4&lt;=4530,(C4/0.6+2220)/0.15,IF(C4&lt;=35530,(C4/0.95+4470)/0.2,IF(C4&gt;35530,(C4+9470)/0.225,"LOL"))))</f>
        <v>200000</v>
      </c>
      <c r="D5" s="18">
        <v>30001</v>
      </c>
      <c r="E5" s="18">
        <v>45000</v>
      </c>
      <c r="F5" s="22" t="s">
        <v>68</v>
      </c>
      <c r="G5" s="41" t="s">
        <v>69</v>
      </c>
      <c r="H5" s="42"/>
      <c r="M5" s="60" t="s">
        <v>35</v>
      </c>
      <c r="N5" s="60" t="s">
        <v>0</v>
      </c>
    </row>
    <row r="6" spans="1:17" ht="17.25" thickTop="1" thickBot="1">
      <c r="A6" s="41"/>
      <c r="B6" s="41" t="s">
        <v>42</v>
      </c>
      <c r="C6" s="41"/>
      <c r="D6" s="18">
        <v>45001</v>
      </c>
      <c r="E6" s="21">
        <v>200000</v>
      </c>
      <c r="F6" s="22" t="s">
        <v>70</v>
      </c>
      <c r="G6" s="41" t="s">
        <v>71</v>
      </c>
      <c r="H6" s="42"/>
      <c r="M6" s="45">
        <v>456</v>
      </c>
      <c r="N6" s="45">
        <v>1368</v>
      </c>
    </row>
    <row r="7" spans="1:17" ht="17.25" thickTop="1" thickBot="1">
      <c r="A7" s="41"/>
      <c r="B7" s="41" t="s">
        <v>42</v>
      </c>
      <c r="C7" s="41"/>
      <c r="D7" s="18">
        <v>200000</v>
      </c>
      <c r="E7" s="21" t="s">
        <v>44</v>
      </c>
      <c r="F7" s="22" t="s">
        <v>72</v>
      </c>
      <c r="G7" s="41"/>
      <c r="H7" s="42"/>
      <c r="M7" s="45">
        <v>2718</v>
      </c>
      <c r="N7" s="45">
        <v>4303.5</v>
      </c>
    </row>
    <row r="8" spans="1:17" ht="17.25" thickTop="1" thickBot="1">
      <c r="A8" s="41"/>
      <c r="B8" s="41" t="s">
        <v>42</v>
      </c>
      <c r="C8" s="41"/>
      <c r="D8" s="41"/>
      <c r="E8" s="41"/>
      <c r="F8" s="41"/>
      <c r="G8" s="41"/>
      <c r="H8" s="42"/>
      <c r="M8" s="45">
        <v>33753.5</v>
      </c>
      <c r="N8" s="45">
        <v>35530</v>
      </c>
    </row>
    <row r="9" spans="1:17" ht="17.25" thickTop="1" thickBot="1">
      <c r="A9" s="41"/>
      <c r="B9" s="41" t="s">
        <v>42</v>
      </c>
      <c r="C9" s="41"/>
      <c r="D9" s="241" t="s">
        <v>36</v>
      </c>
      <c r="E9" s="242"/>
      <c r="F9" s="41"/>
      <c r="G9" s="41"/>
      <c r="H9" s="42"/>
    </row>
    <row r="10" spans="1:17" ht="17.25" customHeight="1" thickTop="1" thickBot="1">
      <c r="A10" s="41"/>
      <c r="B10" s="41" t="s">
        <v>42</v>
      </c>
      <c r="C10" s="41"/>
      <c r="D10" s="18" t="s">
        <v>35</v>
      </c>
      <c r="E10" s="18" t="s">
        <v>0</v>
      </c>
      <c r="F10" s="19" t="s">
        <v>32</v>
      </c>
      <c r="G10" s="41"/>
      <c r="H10" s="42"/>
    </row>
    <row r="11" spans="1:17" ht="17.25" customHeight="1" thickTop="1" thickBot="1">
      <c r="A11" s="41"/>
      <c r="B11" s="41" t="s">
        <v>42</v>
      </c>
      <c r="C11" s="41"/>
      <c r="D11" s="18">
        <v>0</v>
      </c>
      <c r="E11" s="18">
        <v>2280</v>
      </c>
      <c r="F11" s="20" t="s">
        <v>73</v>
      </c>
      <c r="G11" s="41"/>
      <c r="H11" s="42"/>
      <c r="J11" s="208" t="s">
        <v>156</v>
      </c>
      <c r="K11" s="208"/>
      <c r="L11" s="208"/>
      <c r="M11" s="208"/>
      <c r="N11" s="208"/>
      <c r="O11" s="208"/>
      <c r="P11" s="208"/>
      <c r="Q11" s="208"/>
    </row>
    <row r="12" spans="1:17" ht="17.25" customHeight="1" thickTop="1" thickBot="1">
      <c r="A12" s="41"/>
      <c r="B12" s="41" t="s">
        <v>42</v>
      </c>
      <c r="C12" s="41"/>
      <c r="D12" s="18">
        <v>2281</v>
      </c>
      <c r="E12" s="18">
        <v>4530</v>
      </c>
      <c r="F12" s="20" t="s">
        <v>74</v>
      </c>
      <c r="G12" s="41"/>
      <c r="H12" s="42"/>
      <c r="J12" s="208"/>
      <c r="K12" s="208"/>
      <c r="L12" s="208"/>
      <c r="M12" s="208"/>
      <c r="N12" s="208"/>
      <c r="O12" s="208"/>
      <c r="P12" s="208"/>
      <c r="Q12" s="208"/>
    </row>
    <row r="13" spans="1:17" ht="17.25" customHeight="1" thickTop="1" thickBot="1">
      <c r="A13" s="41"/>
      <c r="B13" s="41" t="s">
        <v>42</v>
      </c>
      <c r="C13" s="41"/>
      <c r="D13" s="18">
        <v>4531</v>
      </c>
      <c r="E13" s="18">
        <v>35530</v>
      </c>
      <c r="F13" s="20" t="s">
        <v>75</v>
      </c>
      <c r="G13" s="41"/>
      <c r="H13" s="42"/>
      <c r="J13" s="208"/>
      <c r="K13" s="208"/>
      <c r="L13" s="208"/>
      <c r="M13" s="208"/>
      <c r="N13" s="208"/>
      <c r="O13" s="208"/>
      <c r="P13" s="208"/>
      <c r="Q13" s="208"/>
    </row>
    <row r="14" spans="1:17" ht="17.25" customHeight="1" thickTop="1" thickBot="1">
      <c r="A14" s="41"/>
      <c r="B14" s="41" t="s">
        <v>42</v>
      </c>
      <c r="C14" s="41"/>
      <c r="D14" s="18">
        <v>35531</v>
      </c>
      <c r="E14" s="21" t="s">
        <v>44</v>
      </c>
      <c r="F14" s="20" t="s">
        <v>76</v>
      </c>
      <c r="G14" s="41"/>
      <c r="H14" s="42"/>
      <c r="J14" s="208"/>
      <c r="K14" s="208"/>
      <c r="L14" s="208"/>
      <c r="M14" s="208"/>
      <c r="N14" s="208"/>
      <c r="O14" s="208"/>
      <c r="P14" s="208"/>
      <c r="Q14" s="208"/>
    </row>
    <row r="15" spans="1:17" ht="16.5" customHeight="1" thickTop="1">
      <c r="A15" s="41"/>
      <c r="B15" s="41" t="s">
        <v>42</v>
      </c>
      <c r="C15" s="41"/>
      <c r="D15" s="41"/>
      <c r="E15" s="41"/>
      <c r="F15" s="41"/>
      <c r="G15" s="41"/>
      <c r="H15" s="42"/>
      <c r="J15" s="208"/>
      <c r="K15" s="208"/>
      <c r="L15" s="208"/>
      <c r="M15" s="208"/>
      <c r="N15" s="208"/>
      <c r="O15" s="208"/>
      <c r="P15" s="208"/>
      <c r="Q15" s="208"/>
    </row>
    <row r="16" spans="1:17" ht="17.25" customHeight="1">
      <c r="A16" s="41"/>
      <c r="B16" s="41" t="s">
        <v>42</v>
      </c>
      <c r="C16" s="41"/>
      <c r="D16" s="41"/>
      <c r="E16" s="41"/>
      <c r="F16" s="41"/>
      <c r="G16" s="41"/>
      <c r="J16" s="208"/>
      <c r="K16" s="208"/>
      <c r="L16" s="208"/>
      <c r="M16" s="208"/>
      <c r="N16" s="208"/>
      <c r="O16" s="208"/>
      <c r="P16" s="208"/>
      <c r="Q16" s="208"/>
    </row>
    <row r="17" spans="10:17">
      <c r="J17" s="208"/>
      <c r="K17" s="208"/>
      <c r="L17" s="208"/>
      <c r="M17" s="208"/>
      <c r="N17" s="208"/>
      <c r="O17" s="208"/>
      <c r="P17" s="208"/>
      <c r="Q17" s="208"/>
    </row>
    <row r="18" spans="10:17">
      <c r="J18" s="208"/>
      <c r="K18" s="208"/>
      <c r="L18" s="208"/>
      <c r="M18" s="208"/>
      <c r="N18" s="208"/>
      <c r="O18" s="208"/>
      <c r="P18" s="208"/>
      <c r="Q18" s="208"/>
    </row>
  </sheetData>
  <mergeCells count="6">
    <mergeCell ref="J11:Q18"/>
    <mergeCell ref="K3:P4"/>
    <mergeCell ref="A1:A2"/>
    <mergeCell ref="D1:E1"/>
    <mergeCell ref="A4:A5"/>
    <mergeCell ref="D9:E9"/>
  </mergeCells>
  <pageMargins left="0.7" right="0.7" top="0.75" bottom="0.75" header="0.3" footer="0.3"/>
  <drawing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1"/>
  <sheetViews>
    <sheetView rightToLeft="1" workbookViewId="0">
      <selection activeCell="D1" sqref="D1:E7"/>
    </sheetView>
  </sheetViews>
  <sheetFormatPr defaultRowHeight="15.75"/>
  <cols>
    <col min="1" max="1" width="14.7109375" style="27" bestFit="1" customWidth="1"/>
    <col min="2" max="2" width="16" style="27" customWidth="1"/>
    <col min="3" max="3" width="12.85546875" style="27" bestFit="1" customWidth="1"/>
    <col min="4" max="5" width="10.140625" style="27" bestFit="1" customWidth="1"/>
    <col min="6" max="6" width="26.140625" style="27" bestFit="1" customWidth="1"/>
    <col min="7" max="7" width="4.85546875" style="27" bestFit="1" customWidth="1"/>
    <col min="8" max="8" width="9.42578125" style="27" customWidth="1"/>
    <col min="9" max="9" width="13.5703125" style="27" bestFit="1" customWidth="1"/>
    <col min="10" max="10" width="7.85546875" style="27" bestFit="1" customWidth="1"/>
    <col min="11" max="11" width="5.85546875" style="27" bestFit="1" customWidth="1"/>
    <col min="12" max="12" width="6.140625" style="27" bestFit="1" customWidth="1"/>
    <col min="13" max="13" width="4.42578125" style="27" bestFit="1" customWidth="1"/>
    <col min="14" max="14" width="6.85546875" style="27" bestFit="1" customWidth="1"/>
    <col min="15" max="15" width="4.42578125" style="27" bestFit="1" customWidth="1"/>
    <col min="16" max="16" width="8.42578125" style="27" bestFit="1" customWidth="1"/>
    <col min="17" max="17" width="1.85546875" style="27" bestFit="1" customWidth="1"/>
    <col min="18" max="18" width="9.85546875" style="27" bestFit="1" customWidth="1"/>
    <col min="19" max="20" width="9" style="27"/>
    <col min="21" max="21" width="20.42578125" style="27" bestFit="1" customWidth="1"/>
    <col min="22" max="22" width="9.85546875" style="27" bestFit="1" customWidth="1"/>
    <col min="23" max="255" width="9" style="27"/>
    <col min="256" max="256" width="14.7109375" style="27" bestFit="1" customWidth="1"/>
    <col min="257" max="257" width="16" style="27" customWidth="1"/>
    <col min="258" max="258" width="12.85546875" style="27" bestFit="1" customWidth="1"/>
    <col min="259" max="260" width="10.140625" style="27" bestFit="1" customWidth="1"/>
    <col min="261" max="261" width="22.42578125" style="27" bestFit="1" customWidth="1"/>
    <col min="262" max="262" width="14" style="27" customWidth="1"/>
    <col min="263" max="263" width="4.85546875" style="27" bestFit="1" customWidth="1"/>
    <col min="264" max="264" width="9.42578125" style="27" customWidth="1"/>
    <col min="265" max="265" width="12.42578125" style="27" bestFit="1" customWidth="1"/>
    <col min="266" max="266" width="7.85546875" style="27" bestFit="1" customWidth="1"/>
    <col min="267" max="267" width="5.85546875" style="27" bestFit="1" customWidth="1"/>
    <col min="268" max="268" width="6.140625" style="27" bestFit="1" customWidth="1"/>
    <col min="269" max="269" width="4.42578125" style="27" bestFit="1" customWidth="1"/>
    <col min="270" max="270" width="6.85546875" style="27" bestFit="1" customWidth="1"/>
    <col min="271" max="271" width="4.42578125" style="27" bestFit="1" customWidth="1"/>
    <col min="272" max="272" width="8.42578125" style="27" bestFit="1" customWidth="1"/>
    <col min="273" max="273" width="1.85546875" style="27" bestFit="1" customWidth="1"/>
    <col min="274" max="274" width="9.85546875" style="27" bestFit="1" customWidth="1"/>
    <col min="275" max="276" width="9" style="27"/>
    <col min="277" max="277" width="20.42578125" style="27" bestFit="1" customWidth="1"/>
    <col min="278" max="278" width="9.85546875" style="27" bestFit="1" customWidth="1"/>
    <col min="279" max="511" width="9" style="27"/>
    <col min="512" max="512" width="14.7109375" style="27" bestFit="1" customWidth="1"/>
    <col min="513" max="513" width="16" style="27" customWidth="1"/>
    <col min="514" max="514" width="12.85546875" style="27" bestFit="1" customWidth="1"/>
    <col min="515" max="516" width="10.140625" style="27" bestFit="1" customWidth="1"/>
    <col min="517" max="517" width="22.42578125" style="27" bestFit="1" customWidth="1"/>
    <col min="518" max="518" width="14" style="27" customWidth="1"/>
    <col min="519" max="519" width="4.85546875" style="27" bestFit="1" customWidth="1"/>
    <col min="520" max="520" width="9.42578125" style="27" customWidth="1"/>
    <col min="521" max="521" width="12.42578125" style="27" bestFit="1" customWidth="1"/>
    <col min="522" max="522" width="7.85546875" style="27" bestFit="1" customWidth="1"/>
    <col min="523" max="523" width="5.85546875" style="27" bestFit="1" customWidth="1"/>
    <col min="524" max="524" width="6.140625" style="27" bestFit="1" customWidth="1"/>
    <col min="525" max="525" width="4.42578125" style="27" bestFit="1" customWidth="1"/>
    <col min="526" max="526" width="6.85546875" style="27" bestFit="1" customWidth="1"/>
    <col min="527" max="527" width="4.42578125" style="27" bestFit="1" customWidth="1"/>
    <col min="528" max="528" width="8.42578125" style="27" bestFit="1" customWidth="1"/>
    <col min="529" max="529" width="1.85546875" style="27" bestFit="1" customWidth="1"/>
    <col min="530" max="530" width="9.85546875" style="27" bestFit="1" customWidth="1"/>
    <col min="531" max="532" width="9" style="27"/>
    <col min="533" max="533" width="20.42578125" style="27" bestFit="1" customWidth="1"/>
    <col min="534" max="534" width="9.85546875" style="27" bestFit="1" customWidth="1"/>
    <col min="535" max="767" width="9" style="27"/>
    <col min="768" max="768" width="14.7109375" style="27" bestFit="1" customWidth="1"/>
    <col min="769" max="769" width="16" style="27" customWidth="1"/>
    <col min="770" max="770" width="12.85546875" style="27" bestFit="1" customWidth="1"/>
    <col min="771" max="772" width="10.140625" style="27" bestFit="1" customWidth="1"/>
    <col min="773" max="773" width="22.42578125" style="27" bestFit="1" customWidth="1"/>
    <col min="774" max="774" width="14" style="27" customWidth="1"/>
    <col min="775" max="775" width="4.85546875" style="27" bestFit="1" customWidth="1"/>
    <col min="776" max="776" width="9.42578125" style="27" customWidth="1"/>
    <col min="777" max="777" width="12.42578125" style="27" bestFit="1" customWidth="1"/>
    <col min="778" max="778" width="7.85546875" style="27" bestFit="1" customWidth="1"/>
    <col min="779" max="779" width="5.85546875" style="27" bestFit="1" customWidth="1"/>
    <col min="780" max="780" width="6.140625" style="27" bestFit="1" customWidth="1"/>
    <col min="781" max="781" width="4.42578125" style="27" bestFit="1" customWidth="1"/>
    <col min="782" max="782" width="6.85546875" style="27" bestFit="1" customWidth="1"/>
    <col min="783" max="783" width="4.42578125" style="27" bestFit="1" customWidth="1"/>
    <col min="784" max="784" width="8.42578125" style="27" bestFit="1" customWidth="1"/>
    <col min="785" max="785" width="1.85546875" style="27" bestFit="1" customWidth="1"/>
    <col min="786" max="786" width="9.85546875" style="27" bestFit="1" customWidth="1"/>
    <col min="787" max="788" width="9" style="27"/>
    <col min="789" max="789" width="20.42578125" style="27" bestFit="1" customWidth="1"/>
    <col min="790" max="790" width="9.85546875" style="27" bestFit="1" customWidth="1"/>
    <col min="791" max="1023" width="9" style="27"/>
    <col min="1024" max="1024" width="14.7109375" style="27" bestFit="1" customWidth="1"/>
    <col min="1025" max="1025" width="16" style="27" customWidth="1"/>
    <col min="1026" max="1026" width="12.85546875" style="27" bestFit="1" customWidth="1"/>
    <col min="1027" max="1028" width="10.140625" style="27" bestFit="1" customWidth="1"/>
    <col min="1029" max="1029" width="22.42578125" style="27" bestFit="1" customWidth="1"/>
    <col min="1030" max="1030" width="14" style="27" customWidth="1"/>
    <col min="1031" max="1031" width="4.85546875" style="27" bestFit="1" customWidth="1"/>
    <col min="1032" max="1032" width="9.42578125" style="27" customWidth="1"/>
    <col min="1033" max="1033" width="12.42578125" style="27" bestFit="1" customWidth="1"/>
    <col min="1034" max="1034" width="7.85546875" style="27" bestFit="1" customWidth="1"/>
    <col min="1035" max="1035" width="5.85546875" style="27" bestFit="1" customWidth="1"/>
    <col min="1036" max="1036" width="6.140625" style="27" bestFit="1" customWidth="1"/>
    <col min="1037" max="1037" width="4.42578125" style="27" bestFit="1" customWidth="1"/>
    <col min="1038" max="1038" width="6.85546875" style="27" bestFit="1" customWidth="1"/>
    <col min="1039" max="1039" width="4.42578125" style="27" bestFit="1" customWidth="1"/>
    <col min="1040" max="1040" width="8.42578125" style="27" bestFit="1" customWidth="1"/>
    <col min="1041" max="1041" width="1.85546875" style="27" bestFit="1" customWidth="1"/>
    <col min="1042" max="1042" width="9.85546875" style="27" bestFit="1" customWidth="1"/>
    <col min="1043" max="1044" width="9" style="27"/>
    <col min="1045" max="1045" width="20.42578125" style="27" bestFit="1" customWidth="1"/>
    <col min="1046" max="1046" width="9.85546875" style="27" bestFit="1" customWidth="1"/>
    <col min="1047" max="1279" width="9" style="27"/>
    <col min="1280" max="1280" width="14.7109375" style="27" bestFit="1" customWidth="1"/>
    <col min="1281" max="1281" width="16" style="27" customWidth="1"/>
    <col min="1282" max="1282" width="12.85546875" style="27" bestFit="1" customWidth="1"/>
    <col min="1283" max="1284" width="10.140625" style="27" bestFit="1" customWidth="1"/>
    <col min="1285" max="1285" width="22.42578125" style="27" bestFit="1" customWidth="1"/>
    <col min="1286" max="1286" width="14" style="27" customWidth="1"/>
    <col min="1287" max="1287" width="4.85546875" style="27" bestFit="1" customWidth="1"/>
    <col min="1288" max="1288" width="9.42578125" style="27" customWidth="1"/>
    <col min="1289" max="1289" width="12.42578125" style="27" bestFit="1" customWidth="1"/>
    <col min="1290" max="1290" width="7.85546875" style="27" bestFit="1" customWidth="1"/>
    <col min="1291" max="1291" width="5.85546875" style="27" bestFit="1" customWidth="1"/>
    <col min="1292" max="1292" width="6.140625" style="27" bestFit="1" customWidth="1"/>
    <col min="1293" max="1293" width="4.42578125" style="27" bestFit="1" customWidth="1"/>
    <col min="1294" max="1294" width="6.85546875" style="27" bestFit="1" customWidth="1"/>
    <col min="1295" max="1295" width="4.42578125" style="27" bestFit="1" customWidth="1"/>
    <col min="1296" max="1296" width="8.42578125" style="27" bestFit="1" customWidth="1"/>
    <col min="1297" max="1297" width="1.85546875" style="27" bestFit="1" customWidth="1"/>
    <col min="1298" max="1298" width="9.85546875" style="27" bestFit="1" customWidth="1"/>
    <col min="1299" max="1300" width="9" style="27"/>
    <col min="1301" max="1301" width="20.42578125" style="27" bestFit="1" customWidth="1"/>
    <col min="1302" max="1302" width="9.85546875" style="27" bestFit="1" customWidth="1"/>
    <col min="1303" max="1535" width="9" style="27"/>
    <col min="1536" max="1536" width="14.7109375" style="27" bestFit="1" customWidth="1"/>
    <col min="1537" max="1537" width="16" style="27" customWidth="1"/>
    <col min="1538" max="1538" width="12.85546875" style="27" bestFit="1" customWidth="1"/>
    <col min="1539" max="1540" width="10.140625" style="27" bestFit="1" customWidth="1"/>
    <col min="1541" max="1541" width="22.42578125" style="27" bestFit="1" customWidth="1"/>
    <col min="1542" max="1542" width="14" style="27" customWidth="1"/>
    <col min="1543" max="1543" width="4.85546875" style="27" bestFit="1" customWidth="1"/>
    <col min="1544" max="1544" width="9.42578125" style="27" customWidth="1"/>
    <col min="1545" max="1545" width="12.42578125" style="27" bestFit="1" customWidth="1"/>
    <col min="1546" max="1546" width="7.85546875" style="27" bestFit="1" customWidth="1"/>
    <col min="1547" max="1547" width="5.85546875" style="27" bestFit="1" customWidth="1"/>
    <col min="1548" max="1548" width="6.140625" style="27" bestFit="1" customWidth="1"/>
    <col min="1549" max="1549" width="4.42578125" style="27" bestFit="1" customWidth="1"/>
    <col min="1550" max="1550" width="6.85546875" style="27" bestFit="1" customWidth="1"/>
    <col min="1551" max="1551" width="4.42578125" style="27" bestFit="1" customWidth="1"/>
    <col min="1552" max="1552" width="8.42578125" style="27" bestFit="1" customWidth="1"/>
    <col min="1553" max="1553" width="1.85546875" style="27" bestFit="1" customWidth="1"/>
    <col min="1554" max="1554" width="9.85546875" style="27" bestFit="1" customWidth="1"/>
    <col min="1555" max="1556" width="9" style="27"/>
    <col min="1557" max="1557" width="20.42578125" style="27" bestFit="1" customWidth="1"/>
    <col min="1558" max="1558" width="9.85546875" style="27" bestFit="1" customWidth="1"/>
    <col min="1559" max="1791" width="9" style="27"/>
    <col min="1792" max="1792" width="14.7109375" style="27" bestFit="1" customWidth="1"/>
    <col min="1793" max="1793" width="16" style="27" customWidth="1"/>
    <col min="1794" max="1794" width="12.85546875" style="27" bestFit="1" customWidth="1"/>
    <col min="1795" max="1796" width="10.140625" style="27" bestFit="1" customWidth="1"/>
    <col min="1797" max="1797" width="22.42578125" style="27" bestFit="1" customWidth="1"/>
    <col min="1798" max="1798" width="14" style="27" customWidth="1"/>
    <col min="1799" max="1799" width="4.85546875" style="27" bestFit="1" customWidth="1"/>
    <col min="1800" max="1800" width="9.42578125" style="27" customWidth="1"/>
    <col min="1801" max="1801" width="12.42578125" style="27" bestFit="1" customWidth="1"/>
    <col min="1802" max="1802" width="7.85546875" style="27" bestFit="1" customWidth="1"/>
    <col min="1803" max="1803" width="5.85546875" style="27" bestFit="1" customWidth="1"/>
    <col min="1804" max="1804" width="6.140625" style="27" bestFit="1" customWidth="1"/>
    <col min="1805" max="1805" width="4.42578125" style="27" bestFit="1" customWidth="1"/>
    <col min="1806" max="1806" width="6.85546875" style="27" bestFit="1" customWidth="1"/>
    <col min="1807" max="1807" width="4.42578125" style="27" bestFit="1" customWidth="1"/>
    <col min="1808" max="1808" width="8.42578125" style="27" bestFit="1" customWidth="1"/>
    <col min="1809" max="1809" width="1.85546875" style="27" bestFit="1" customWidth="1"/>
    <col min="1810" max="1810" width="9.85546875" style="27" bestFit="1" customWidth="1"/>
    <col min="1811" max="1812" width="9" style="27"/>
    <col min="1813" max="1813" width="20.42578125" style="27" bestFit="1" customWidth="1"/>
    <col min="1814" max="1814" width="9.85546875" style="27" bestFit="1" customWidth="1"/>
    <col min="1815" max="2047" width="9" style="27"/>
    <col min="2048" max="2048" width="14.7109375" style="27" bestFit="1" customWidth="1"/>
    <col min="2049" max="2049" width="16" style="27" customWidth="1"/>
    <col min="2050" max="2050" width="12.85546875" style="27" bestFit="1" customWidth="1"/>
    <col min="2051" max="2052" width="10.140625" style="27" bestFit="1" customWidth="1"/>
    <col min="2053" max="2053" width="22.42578125" style="27" bestFit="1" customWidth="1"/>
    <col min="2054" max="2054" width="14" style="27" customWidth="1"/>
    <col min="2055" max="2055" width="4.85546875" style="27" bestFit="1" customWidth="1"/>
    <col min="2056" max="2056" width="9.42578125" style="27" customWidth="1"/>
    <col min="2057" max="2057" width="12.42578125" style="27" bestFit="1" customWidth="1"/>
    <col min="2058" max="2058" width="7.85546875" style="27" bestFit="1" customWidth="1"/>
    <col min="2059" max="2059" width="5.85546875" style="27" bestFit="1" customWidth="1"/>
    <col min="2060" max="2060" width="6.140625" style="27" bestFit="1" customWidth="1"/>
    <col min="2061" max="2061" width="4.42578125" style="27" bestFit="1" customWidth="1"/>
    <col min="2062" max="2062" width="6.85546875" style="27" bestFit="1" customWidth="1"/>
    <col min="2063" max="2063" width="4.42578125" style="27" bestFit="1" customWidth="1"/>
    <col min="2064" max="2064" width="8.42578125" style="27" bestFit="1" customWidth="1"/>
    <col min="2065" max="2065" width="1.85546875" style="27" bestFit="1" customWidth="1"/>
    <col min="2066" max="2066" width="9.85546875" style="27" bestFit="1" customWidth="1"/>
    <col min="2067" max="2068" width="9" style="27"/>
    <col min="2069" max="2069" width="20.42578125" style="27" bestFit="1" customWidth="1"/>
    <col min="2070" max="2070" width="9.85546875" style="27" bestFit="1" customWidth="1"/>
    <col min="2071" max="2303" width="9" style="27"/>
    <col min="2304" max="2304" width="14.7109375" style="27" bestFit="1" customWidth="1"/>
    <col min="2305" max="2305" width="16" style="27" customWidth="1"/>
    <col min="2306" max="2306" width="12.85546875" style="27" bestFit="1" customWidth="1"/>
    <col min="2307" max="2308" width="10.140625" style="27" bestFit="1" customWidth="1"/>
    <col min="2309" max="2309" width="22.42578125" style="27" bestFit="1" customWidth="1"/>
    <col min="2310" max="2310" width="14" style="27" customWidth="1"/>
    <col min="2311" max="2311" width="4.85546875" style="27" bestFit="1" customWidth="1"/>
    <col min="2312" max="2312" width="9.42578125" style="27" customWidth="1"/>
    <col min="2313" max="2313" width="12.42578125" style="27" bestFit="1" customWidth="1"/>
    <col min="2314" max="2314" width="7.85546875" style="27" bestFit="1" customWidth="1"/>
    <col min="2315" max="2315" width="5.85546875" style="27" bestFit="1" customWidth="1"/>
    <col min="2316" max="2316" width="6.140625" style="27" bestFit="1" customWidth="1"/>
    <col min="2317" max="2317" width="4.42578125" style="27" bestFit="1" customWidth="1"/>
    <col min="2318" max="2318" width="6.85546875" style="27" bestFit="1" customWidth="1"/>
    <col min="2319" max="2319" width="4.42578125" style="27" bestFit="1" customWidth="1"/>
    <col min="2320" max="2320" width="8.42578125" style="27" bestFit="1" customWidth="1"/>
    <col min="2321" max="2321" width="1.85546875" style="27" bestFit="1" customWidth="1"/>
    <col min="2322" max="2322" width="9.85546875" style="27" bestFit="1" customWidth="1"/>
    <col min="2323" max="2324" width="9" style="27"/>
    <col min="2325" max="2325" width="20.42578125" style="27" bestFit="1" customWidth="1"/>
    <col min="2326" max="2326" width="9.85546875" style="27" bestFit="1" customWidth="1"/>
    <col min="2327" max="2559" width="9" style="27"/>
    <col min="2560" max="2560" width="14.7109375" style="27" bestFit="1" customWidth="1"/>
    <col min="2561" max="2561" width="16" style="27" customWidth="1"/>
    <col min="2562" max="2562" width="12.85546875" style="27" bestFit="1" customWidth="1"/>
    <col min="2563" max="2564" width="10.140625" style="27" bestFit="1" customWidth="1"/>
    <col min="2565" max="2565" width="22.42578125" style="27" bestFit="1" customWidth="1"/>
    <col min="2566" max="2566" width="14" style="27" customWidth="1"/>
    <col min="2567" max="2567" width="4.85546875" style="27" bestFit="1" customWidth="1"/>
    <col min="2568" max="2568" width="9.42578125" style="27" customWidth="1"/>
    <col min="2569" max="2569" width="12.42578125" style="27" bestFit="1" customWidth="1"/>
    <col min="2570" max="2570" width="7.85546875" style="27" bestFit="1" customWidth="1"/>
    <col min="2571" max="2571" width="5.85546875" style="27" bestFit="1" customWidth="1"/>
    <col min="2572" max="2572" width="6.140625" style="27" bestFit="1" customWidth="1"/>
    <col min="2573" max="2573" width="4.42578125" style="27" bestFit="1" customWidth="1"/>
    <col min="2574" max="2574" width="6.85546875" style="27" bestFit="1" customWidth="1"/>
    <col min="2575" max="2575" width="4.42578125" style="27" bestFit="1" customWidth="1"/>
    <col min="2576" max="2576" width="8.42578125" style="27" bestFit="1" customWidth="1"/>
    <col min="2577" max="2577" width="1.85546875" style="27" bestFit="1" customWidth="1"/>
    <col min="2578" max="2578" width="9.85546875" style="27" bestFit="1" customWidth="1"/>
    <col min="2579" max="2580" width="9" style="27"/>
    <col min="2581" max="2581" width="20.42578125" style="27" bestFit="1" customWidth="1"/>
    <col min="2582" max="2582" width="9.85546875" style="27" bestFit="1" customWidth="1"/>
    <col min="2583" max="2815" width="9" style="27"/>
    <col min="2816" max="2816" width="14.7109375" style="27" bestFit="1" customWidth="1"/>
    <col min="2817" max="2817" width="16" style="27" customWidth="1"/>
    <col min="2818" max="2818" width="12.85546875" style="27" bestFit="1" customWidth="1"/>
    <col min="2819" max="2820" width="10.140625" style="27" bestFit="1" customWidth="1"/>
    <col min="2821" max="2821" width="22.42578125" style="27" bestFit="1" customWidth="1"/>
    <col min="2822" max="2822" width="14" style="27" customWidth="1"/>
    <col min="2823" max="2823" width="4.85546875" style="27" bestFit="1" customWidth="1"/>
    <col min="2824" max="2824" width="9.42578125" style="27" customWidth="1"/>
    <col min="2825" max="2825" width="12.42578125" style="27" bestFit="1" customWidth="1"/>
    <col min="2826" max="2826" width="7.85546875" style="27" bestFit="1" customWidth="1"/>
    <col min="2827" max="2827" width="5.85546875" style="27" bestFit="1" customWidth="1"/>
    <col min="2828" max="2828" width="6.140625" style="27" bestFit="1" customWidth="1"/>
    <col min="2829" max="2829" width="4.42578125" style="27" bestFit="1" customWidth="1"/>
    <col min="2830" max="2830" width="6.85546875" style="27" bestFit="1" customWidth="1"/>
    <col min="2831" max="2831" width="4.42578125" style="27" bestFit="1" customWidth="1"/>
    <col min="2832" max="2832" width="8.42578125" style="27" bestFit="1" customWidth="1"/>
    <col min="2833" max="2833" width="1.85546875" style="27" bestFit="1" customWidth="1"/>
    <col min="2834" max="2834" width="9.85546875" style="27" bestFit="1" customWidth="1"/>
    <col min="2835" max="2836" width="9" style="27"/>
    <col min="2837" max="2837" width="20.42578125" style="27" bestFit="1" customWidth="1"/>
    <col min="2838" max="2838" width="9.85546875" style="27" bestFit="1" customWidth="1"/>
    <col min="2839" max="3071" width="9" style="27"/>
    <col min="3072" max="3072" width="14.7109375" style="27" bestFit="1" customWidth="1"/>
    <col min="3073" max="3073" width="16" style="27" customWidth="1"/>
    <col min="3074" max="3074" width="12.85546875" style="27" bestFit="1" customWidth="1"/>
    <col min="3075" max="3076" width="10.140625" style="27" bestFit="1" customWidth="1"/>
    <col min="3077" max="3077" width="22.42578125" style="27" bestFit="1" customWidth="1"/>
    <col min="3078" max="3078" width="14" style="27" customWidth="1"/>
    <col min="3079" max="3079" width="4.85546875" style="27" bestFit="1" customWidth="1"/>
    <col min="3080" max="3080" width="9.42578125" style="27" customWidth="1"/>
    <col min="3081" max="3081" width="12.42578125" style="27" bestFit="1" customWidth="1"/>
    <col min="3082" max="3082" width="7.85546875" style="27" bestFit="1" customWidth="1"/>
    <col min="3083" max="3083" width="5.85546875" style="27" bestFit="1" customWidth="1"/>
    <col min="3084" max="3084" width="6.140625" style="27" bestFit="1" customWidth="1"/>
    <col min="3085" max="3085" width="4.42578125" style="27" bestFit="1" customWidth="1"/>
    <col min="3086" max="3086" width="6.85546875" style="27" bestFit="1" customWidth="1"/>
    <col min="3087" max="3087" width="4.42578125" style="27" bestFit="1" customWidth="1"/>
    <col min="3088" max="3088" width="8.42578125" style="27" bestFit="1" customWidth="1"/>
    <col min="3089" max="3089" width="1.85546875" style="27" bestFit="1" customWidth="1"/>
    <col min="3090" max="3090" width="9.85546875" style="27" bestFit="1" customWidth="1"/>
    <col min="3091" max="3092" width="9" style="27"/>
    <col min="3093" max="3093" width="20.42578125" style="27" bestFit="1" customWidth="1"/>
    <col min="3094" max="3094" width="9.85546875" style="27" bestFit="1" customWidth="1"/>
    <col min="3095" max="3327" width="9" style="27"/>
    <col min="3328" max="3328" width="14.7109375" style="27" bestFit="1" customWidth="1"/>
    <col min="3329" max="3329" width="16" style="27" customWidth="1"/>
    <col min="3330" max="3330" width="12.85546875" style="27" bestFit="1" customWidth="1"/>
    <col min="3331" max="3332" width="10.140625" style="27" bestFit="1" customWidth="1"/>
    <col min="3333" max="3333" width="22.42578125" style="27" bestFit="1" customWidth="1"/>
    <col min="3334" max="3334" width="14" style="27" customWidth="1"/>
    <col min="3335" max="3335" width="4.85546875" style="27" bestFit="1" customWidth="1"/>
    <col min="3336" max="3336" width="9.42578125" style="27" customWidth="1"/>
    <col min="3337" max="3337" width="12.42578125" style="27" bestFit="1" customWidth="1"/>
    <col min="3338" max="3338" width="7.85546875" style="27" bestFit="1" customWidth="1"/>
    <col min="3339" max="3339" width="5.85546875" style="27" bestFit="1" customWidth="1"/>
    <col min="3340" max="3340" width="6.140625" style="27" bestFit="1" customWidth="1"/>
    <col min="3341" max="3341" width="4.42578125" style="27" bestFit="1" customWidth="1"/>
    <col min="3342" max="3342" width="6.85546875" style="27" bestFit="1" customWidth="1"/>
    <col min="3343" max="3343" width="4.42578125" style="27" bestFit="1" customWidth="1"/>
    <col min="3344" max="3344" width="8.42578125" style="27" bestFit="1" customWidth="1"/>
    <col min="3345" max="3345" width="1.85546875" style="27" bestFit="1" customWidth="1"/>
    <col min="3346" max="3346" width="9.85546875" style="27" bestFit="1" customWidth="1"/>
    <col min="3347" max="3348" width="9" style="27"/>
    <col min="3349" max="3349" width="20.42578125" style="27" bestFit="1" customWidth="1"/>
    <col min="3350" max="3350" width="9.85546875" style="27" bestFit="1" customWidth="1"/>
    <col min="3351" max="3583" width="9" style="27"/>
    <col min="3584" max="3584" width="14.7109375" style="27" bestFit="1" customWidth="1"/>
    <col min="3585" max="3585" width="16" style="27" customWidth="1"/>
    <col min="3586" max="3586" width="12.85546875" style="27" bestFit="1" customWidth="1"/>
    <col min="3587" max="3588" width="10.140625" style="27" bestFit="1" customWidth="1"/>
    <col min="3589" max="3589" width="22.42578125" style="27" bestFit="1" customWidth="1"/>
    <col min="3590" max="3590" width="14" style="27" customWidth="1"/>
    <col min="3591" max="3591" width="4.85546875" style="27" bestFit="1" customWidth="1"/>
    <col min="3592" max="3592" width="9.42578125" style="27" customWidth="1"/>
    <col min="3593" max="3593" width="12.42578125" style="27" bestFit="1" customWidth="1"/>
    <col min="3594" max="3594" width="7.85546875" style="27" bestFit="1" customWidth="1"/>
    <col min="3595" max="3595" width="5.85546875" style="27" bestFit="1" customWidth="1"/>
    <col min="3596" max="3596" width="6.140625" style="27" bestFit="1" customWidth="1"/>
    <col min="3597" max="3597" width="4.42578125" style="27" bestFit="1" customWidth="1"/>
    <col min="3598" max="3598" width="6.85546875" style="27" bestFit="1" customWidth="1"/>
    <col min="3599" max="3599" width="4.42578125" style="27" bestFit="1" customWidth="1"/>
    <col min="3600" max="3600" width="8.42578125" style="27" bestFit="1" customWidth="1"/>
    <col min="3601" max="3601" width="1.85546875" style="27" bestFit="1" customWidth="1"/>
    <col min="3602" max="3602" width="9.85546875" style="27" bestFit="1" customWidth="1"/>
    <col min="3603" max="3604" width="9" style="27"/>
    <col min="3605" max="3605" width="20.42578125" style="27" bestFit="1" customWidth="1"/>
    <col min="3606" max="3606" width="9.85546875" style="27" bestFit="1" customWidth="1"/>
    <col min="3607" max="3839" width="9" style="27"/>
    <col min="3840" max="3840" width="14.7109375" style="27" bestFit="1" customWidth="1"/>
    <col min="3841" max="3841" width="16" style="27" customWidth="1"/>
    <col min="3842" max="3842" width="12.85546875" style="27" bestFit="1" customWidth="1"/>
    <col min="3843" max="3844" width="10.140625" style="27" bestFit="1" customWidth="1"/>
    <col min="3845" max="3845" width="22.42578125" style="27" bestFit="1" customWidth="1"/>
    <col min="3846" max="3846" width="14" style="27" customWidth="1"/>
    <col min="3847" max="3847" width="4.85546875" style="27" bestFit="1" customWidth="1"/>
    <col min="3848" max="3848" width="9.42578125" style="27" customWidth="1"/>
    <col min="3849" max="3849" width="12.42578125" style="27" bestFit="1" customWidth="1"/>
    <col min="3850" max="3850" width="7.85546875" style="27" bestFit="1" customWidth="1"/>
    <col min="3851" max="3851" width="5.85546875" style="27" bestFit="1" customWidth="1"/>
    <col min="3852" max="3852" width="6.140625" style="27" bestFit="1" customWidth="1"/>
    <col min="3853" max="3853" width="4.42578125" style="27" bestFit="1" customWidth="1"/>
    <col min="3854" max="3854" width="6.85546875" style="27" bestFit="1" customWidth="1"/>
    <col min="3855" max="3855" width="4.42578125" style="27" bestFit="1" customWidth="1"/>
    <col min="3856" max="3856" width="8.42578125" style="27" bestFit="1" customWidth="1"/>
    <col min="3857" max="3857" width="1.85546875" style="27" bestFit="1" customWidth="1"/>
    <col min="3858" max="3858" width="9.85546875" style="27" bestFit="1" customWidth="1"/>
    <col min="3859" max="3860" width="9" style="27"/>
    <col min="3861" max="3861" width="20.42578125" style="27" bestFit="1" customWidth="1"/>
    <col min="3862" max="3862" width="9.85546875" style="27" bestFit="1" customWidth="1"/>
    <col min="3863" max="4095" width="9" style="27"/>
    <col min="4096" max="4096" width="14.7109375" style="27" bestFit="1" customWidth="1"/>
    <col min="4097" max="4097" width="16" style="27" customWidth="1"/>
    <col min="4098" max="4098" width="12.85546875" style="27" bestFit="1" customWidth="1"/>
    <col min="4099" max="4100" width="10.140625" style="27" bestFit="1" customWidth="1"/>
    <col min="4101" max="4101" width="22.42578125" style="27" bestFit="1" customWidth="1"/>
    <col min="4102" max="4102" width="14" style="27" customWidth="1"/>
    <col min="4103" max="4103" width="4.85546875" style="27" bestFit="1" customWidth="1"/>
    <col min="4104" max="4104" width="9.42578125" style="27" customWidth="1"/>
    <col min="4105" max="4105" width="12.42578125" style="27" bestFit="1" customWidth="1"/>
    <col min="4106" max="4106" width="7.85546875" style="27" bestFit="1" customWidth="1"/>
    <col min="4107" max="4107" width="5.85546875" style="27" bestFit="1" customWidth="1"/>
    <col min="4108" max="4108" width="6.140625" style="27" bestFit="1" customWidth="1"/>
    <col min="4109" max="4109" width="4.42578125" style="27" bestFit="1" customWidth="1"/>
    <col min="4110" max="4110" width="6.85546875" style="27" bestFit="1" customWidth="1"/>
    <col min="4111" max="4111" width="4.42578125" style="27" bestFit="1" customWidth="1"/>
    <col min="4112" max="4112" width="8.42578125" style="27" bestFit="1" customWidth="1"/>
    <col min="4113" max="4113" width="1.85546875" style="27" bestFit="1" customWidth="1"/>
    <col min="4114" max="4114" width="9.85546875" style="27" bestFit="1" customWidth="1"/>
    <col min="4115" max="4116" width="9" style="27"/>
    <col min="4117" max="4117" width="20.42578125" style="27" bestFit="1" customWidth="1"/>
    <col min="4118" max="4118" width="9.85546875" style="27" bestFit="1" customWidth="1"/>
    <col min="4119" max="4351" width="9" style="27"/>
    <col min="4352" max="4352" width="14.7109375" style="27" bestFit="1" customWidth="1"/>
    <col min="4353" max="4353" width="16" style="27" customWidth="1"/>
    <col min="4354" max="4354" width="12.85546875" style="27" bestFit="1" customWidth="1"/>
    <col min="4355" max="4356" width="10.140625" style="27" bestFit="1" customWidth="1"/>
    <col min="4357" max="4357" width="22.42578125" style="27" bestFit="1" customWidth="1"/>
    <col min="4358" max="4358" width="14" style="27" customWidth="1"/>
    <col min="4359" max="4359" width="4.85546875" style="27" bestFit="1" customWidth="1"/>
    <col min="4360" max="4360" width="9.42578125" style="27" customWidth="1"/>
    <col min="4361" max="4361" width="12.42578125" style="27" bestFit="1" customWidth="1"/>
    <col min="4362" max="4362" width="7.85546875" style="27" bestFit="1" customWidth="1"/>
    <col min="4363" max="4363" width="5.85546875" style="27" bestFit="1" customWidth="1"/>
    <col min="4364" max="4364" width="6.140625" style="27" bestFit="1" customWidth="1"/>
    <col min="4365" max="4365" width="4.42578125" style="27" bestFit="1" customWidth="1"/>
    <col min="4366" max="4366" width="6.85546875" style="27" bestFit="1" customWidth="1"/>
    <col min="4367" max="4367" width="4.42578125" style="27" bestFit="1" customWidth="1"/>
    <col min="4368" max="4368" width="8.42578125" style="27" bestFit="1" customWidth="1"/>
    <col min="4369" max="4369" width="1.85546875" style="27" bestFit="1" customWidth="1"/>
    <col min="4370" max="4370" width="9.85546875" style="27" bestFit="1" customWidth="1"/>
    <col min="4371" max="4372" width="9" style="27"/>
    <col min="4373" max="4373" width="20.42578125" style="27" bestFit="1" customWidth="1"/>
    <col min="4374" max="4374" width="9.85546875" style="27" bestFit="1" customWidth="1"/>
    <col min="4375" max="4607" width="9" style="27"/>
    <col min="4608" max="4608" width="14.7109375" style="27" bestFit="1" customWidth="1"/>
    <col min="4609" max="4609" width="16" style="27" customWidth="1"/>
    <col min="4610" max="4610" width="12.85546875" style="27" bestFit="1" customWidth="1"/>
    <col min="4611" max="4612" width="10.140625" style="27" bestFit="1" customWidth="1"/>
    <col min="4613" max="4613" width="22.42578125" style="27" bestFit="1" customWidth="1"/>
    <col min="4614" max="4614" width="14" style="27" customWidth="1"/>
    <col min="4615" max="4615" width="4.85546875" style="27" bestFit="1" customWidth="1"/>
    <col min="4616" max="4616" width="9.42578125" style="27" customWidth="1"/>
    <col min="4617" max="4617" width="12.42578125" style="27" bestFit="1" customWidth="1"/>
    <col min="4618" max="4618" width="7.85546875" style="27" bestFit="1" customWidth="1"/>
    <col min="4619" max="4619" width="5.85546875" style="27" bestFit="1" customWidth="1"/>
    <col min="4620" max="4620" width="6.140625" style="27" bestFit="1" customWidth="1"/>
    <col min="4621" max="4621" width="4.42578125" style="27" bestFit="1" customWidth="1"/>
    <col min="4622" max="4622" width="6.85546875" style="27" bestFit="1" customWidth="1"/>
    <col min="4623" max="4623" width="4.42578125" style="27" bestFit="1" customWidth="1"/>
    <col min="4624" max="4624" width="8.42578125" style="27" bestFit="1" customWidth="1"/>
    <col min="4625" max="4625" width="1.85546875" style="27" bestFit="1" customWidth="1"/>
    <col min="4626" max="4626" width="9.85546875" style="27" bestFit="1" customWidth="1"/>
    <col min="4627" max="4628" width="9" style="27"/>
    <col min="4629" max="4629" width="20.42578125" style="27" bestFit="1" customWidth="1"/>
    <col min="4630" max="4630" width="9.85546875" style="27" bestFit="1" customWidth="1"/>
    <col min="4631" max="4863" width="9" style="27"/>
    <col min="4864" max="4864" width="14.7109375" style="27" bestFit="1" customWidth="1"/>
    <col min="4865" max="4865" width="16" style="27" customWidth="1"/>
    <col min="4866" max="4866" width="12.85546875" style="27" bestFit="1" customWidth="1"/>
    <col min="4867" max="4868" width="10.140625" style="27" bestFit="1" customWidth="1"/>
    <col min="4869" max="4869" width="22.42578125" style="27" bestFit="1" customWidth="1"/>
    <col min="4870" max="4870" width="14" style="27" customWidth="1"/>
    <col min="4871" max="4871" width="4.85546875" style="27" bestFit="1" customWidth="1"/>
    <col min="4872" max="4872" width="9.42578125" style="27" customWidth="1"/>
    <col min="4873" max="4873" width="12.42578125" style="27" bestFit="1" customWidth="1"/>
    <col min="4874" max="4874" width="7.85546875" style="27" bestFit="1" customWidth="1"/>
    <col min="4875" max="4875" width="5.85546875" style="27" bestFit="1" customWidth="1"/>
    <col min="4876" max="4876" width="6.140625" style="27" bestFit="1" customWidth="1"/>
    <col min="4877" max="4877" width="4.42578125" style="27" bestFit="1" customWidth="1"/>
    <col min="4878" max="4878" width="6.85546875" style="27" bestFit="1" customWidth="1"/>
    <col min="4879" max="4879" width="4.42578125" style="27" bestFit="1" customWidth="1"/>
    <col min="4880" max="4880" width="8.42578125" style="27" bestFit="1" customWidth="1"/>
    <col min="4881" max="4881" width="1.85546875" style="27" bestFit="1" customWidth="1"/>
    <col min="4882" max="4882" width="9.85546875" style="27" bestFit="1" customWidth="1"/>
    <col min="4883" max="4884" width="9" style="27"/>
    <col min="4885" max="4885" width="20.42578125" style="27" bestFit="1" customWidth="1"/>
    <col min="4886" max="4886" width="9.85546875" style="27" bestFit="1" customWidth="1"/>
    <col min="4887" max="5119" width="9" style="27"/>
    <col min="5120" max="5120" width="14.7109375" style="27" bestFit="1" customWidth="1"/>
    <col min="5121" max="5121" width="16" style="27" customWidth="1"/>
    <col min="5122" max="5122" width="12.85546875" style="27" bestFit="1" customWidth="1"/>
    <col min="5123" max="5124" width="10.140625" style="27" bestFit="1" customWidth="1"/>
    <col min="5125" max="5125" width="22.42578125" style="27" bestFit="1" customWidth="1"/>
    <col min="5126" max="5126" width="14" style="27" customWidth="1"/>
    <col min="5127" max="5127" width="4.85546875" style="27" bestFit="1" customWidth="1"/>
    <col min="5128" max="5128" width="9.42578125" style="27" customWidth="1"/>
    <col min="5129" max="5129" width="12.42578125" style="27" bestFit="1" customWidth="1"/>
    <col min="5130" max="5130" width="7.85546875" style="27" bestFit="1" customWidth="1"/>
    <col min="5131" max="5131" width="5.85546875" style="27" bestFit="1" customWidth="1"/>
    <col min="5132" max="5132" width="6.140625" style="27" bestFit="1" customWidth="1"/>
    <col min="5133" max="5133" width="4.42578125" style="27" bestFit="1" customWidth="1"/>
    <col min="5134" max="5134" width="6.85546875" style="27" bestFit="1" customWidth="1"/>
    <col min="5135" max="5135" width="4.42578125" style="27" bestFit="1" customWidth="1"/>
    <col min="5136" max="5136" width="8.42578125" style="27" bestFit="1" customWidth="1"/>
    <col min="5137" max="5137" width="1.85546875" style="27" bestFit="1" customWidth="1"/>
    <col min="5138" max="5138" width="9.85546875" style="27" bestFit="1" customWidth="1"/>
    <col min="5139" max="5140" width="9" style="27"/>
    <col min="5141" max="5141" width="20.42578125" style="27" bestFit="1" customWidth="1"/>
    <col min="5142" max="5142" width="9.85546875" style="27" bestFit="1" customWidth="1"/>
    <col min="5143" max="5375" width="9" style="27"/>
    <col min="5376" max="5376" width="14.7109375" style="27" bestFit="1" customWidth="1"/>
    <col min="5377" max="5377" width="16" style="27" customWidth="1"/>
    <col min="5378" max="5378" width="12.85546875" style="27" bestFit="1" customWidth="1"/>
    <col min="5379" max="5380" width="10.140625" style="27" bestFit="1" customWidth="1"/>
    <col min="5381" max="5381" width="22.42578125" style="27" bestFit="1" customWidth="1"/>
    <col min="5382" max="5382" width="14" style="27" customWidth="1"/>
    <col min="5383" max="5383" width="4.85546875" style="27" bestFit="1" customWidth="1"/>
    <col min="5384" max="5384" width="9.42578125" style="27" customWidth="1"/>
    <col min="5385" max="5385" width="12.42578125" style="27" bestFit="1" customWidth="1"/>
    <col min="5386" max="5386" width="7.85546875" style="27" bestFit="1" customWidth="1"/>
    <col min="5387" max="5387" width="5.85546875" style="27" bestFit="1" customWidth="1"/>
    <col min="5388" max="5388" width="6.140625" style="27" bestFit="1" customWidth="1"/>
    <col min="5389" max="5389" width="4.42578125" style="27" bestFit="1" customWidth="1"/>
    <col min="5390" max="5390" width="6.85546875" style="27" bestFit="1" customWidth="1"/>
    <col min="5391" max="5391" width="4.42578125" style="27" bestFit="1" customWidth="1"/>
    <col min="5392" max="5392" width="8.42578125" style="27" bestFit="1" customWidth="1"/>
    <col min="5393" max="5393" width="1.85546875" style="27" bestFit="1" customWidth="1"/>
    <col min="5394" max="5394" width="9.85546875" style="27" bestFit="1" customWidth="1"/>
    <col min="5395" max="5396" width="9" style="27"/>
    <col min="5397" max="5397" width="20.42578125" style="27" bestFit="1" customWidth="1"/>
    <col min="5398" max="5398" width="9.85546875" style="27" bestFit="1" customWidth="1"/>
    <col min="5399" max="5631" width="9" style="27"/>
    <col min="5632" max="5632" width="14.7109375" style="27" bestFit="1" customWidth="1"/>
    <col min="5633" max="5633" width="16" style="27" customWidth="1"/>
    <col min="5634" max="5634" width="12.85546875" style="27" bestFit="1" customWidth="1"/>
    <col min="5635" max="5636" width="10.140625" style="27" bestFit="1" customWidth="1"/>
    <col min="5637" max="5637" width="22.42578125" style="27" bestFit="1" customWidth="1"/>
    <col min="5638" max="5638" width="14" style="27" customWidth="1"/>
    <col min="5639" max="5639" width="4.85546875" style="27" bestFit="1" customWidth="1"/>
    <col min="5640" max="5640" width="9.42578125" style="27" customWidth="1"/>
    <col min="5641" max="5641" width="12.42578125" style="27" bestFit="1" customWidth="1"/>
    <col min="5642" max="5642" width="7.85546875" style="27" bestFit="1" customWidth="1"/>
    <col min="5643" max="5643" width="5.85546875" style="27" bestFit="1" customWidth="1"/>
    <col min="5644" max="5644" width="6.140625" style="27" bestFit="1" customWidth="1"/>
    <col min="5645" max="5645" width="4.42578125" style="27" bestFit="1" customWidth="1"/>
    <col min="5646" max="5646" width="6.85546875" style="27" bestFit="1" customWidth="1"/>
    <col min="5647" max="5647" width="4.42578125" style="27" bestFit="1" customWidth="1"/>
    <col min="5648" max="5648" width="8.42578125" style="27" bestFit="1" customWidth="1"/>
    <col min="5649" max="5649" width="1.85546875" style="27" bestFit="1" customWidth="1"/>
    <col min="5650" max="5650" width="9.85546875" style="27" bestFit="1" customWidth="1"/>
    <col min="5651" max="5652" width="9" style="27"/>
    <col min="5653" max="5653" width="20.42578125" style="27" bestFit="1" customWidth="1"/>
    <col min="5654" max="5654" width="9.85546875" style="27" bestFit="1" customWidth="1"/>
    <col min="5655" max="5887" width="9" style="27"/>
    <col min="5888" max="5888" width="14.7109375" style="27" bestFit="1" customWidth="1"/>
    <col min="5889" max="5889" width="16" style="27" customWidth="1"/>
    <col min="5890" max="5890" width="12.85546875" style="27" bestFit="1" customWidth="1"/>
    <col min="5891" max="5892" width="10.140625" style="27" bestFit="1" customWidth="1"/>
    <col min="5893" max="5893" width="22.42578125" style="27" bestFit="1" customWidth="1"/>
    <col min="5894" max="5894" width="14" style="27" customWidth="1"/>
    <col min="5895" max="5895" width="4.85546875" style="27" bestFit="1" customWidth="1"/>
    <col min="5896" max="5896" width="9.42578125" style="27" customWidth="1"/>
    <col min="5897" max="5897" width="12.42578125" style="27" bestFit="1" customWidth="1"/>
    <col min="5898" max="5898" width="7.85546875" style="27" bestFit="1" customWidth="1"/>
    <col min="5899" max="5899" width="5.85546875" style="27" bestFit="1" customWidth="1"/>
    <col min="5900" max="5900" width="6.140625" style="27" bestFit="1" customWidth="1"/>
    <col min="5901" max="5901" width="4.42578125" style="27" bestFit="1" customWidth="1"/>
    <col min="5902" max="5902" width="6.85546875" style="27" bestFit="1" customWidth="1"/>
    <col min="5903" max="5903" width="4.42578125" style="27" bestFit="1" customWidth="1"/>
    <col min="5904" max="5904" width="8.42578125" style="27" bestFit="1" customWidth="1"/>
    <col min="5905" max="5905" width="1.85546875" style="27" bestFit="1" customWidth="1"/>
    <col min="5906" max="5906" width="9.85546875" style="27" bestFit="1" customWidth="1"/>
    <col min="5907" max="5908" width="9" style="27"/>
    <col min="5909" max="5909" width="20.42578125" style="27" bestFit="1" customWidth="1"/>
    <col min="5910" max="5910" width="9.85546875" style="27" bestFit="1" customWidth="1"/>
    <col min="5911" max="6143" width="9" style="27"/>
    <col min="6144" max="6144" width="14.7109375" style="27" bestFit="1" customWidth="1"/>
    <col min="6145" max="6145" width="16" style="27" customWidth="1"/>
    <col min="6146" max="6146" width="12.85546875" style="27" bestFit="1" customWidth="1"/>
    <col min="6147" max="6148" width="10.140625" style="27" bestFit="1" customWidth="1"/>
    <col min="6149" max="6149" width="22.42578125" style="27" bestFit="1" customWidth="1"/>
    <col min="6150" max="6150" width="14" style="27" customWidth="1"/>
    <col min="6151" max="6151" width="4.85546875" style="27" bestFit="1" customWidth="1"/>
    <col min="6152" max="6152" width="9.42578125" style="27" customWidth="1"/>
    <col min="6153" max="6153" width="12.42578125" style="27" bestFit="1" customWidth="1"/>
    <col min="6154" max="6154" width="7.85546875" style="27" bestFit="1" customWidth="1"/>
    <col min="6155" max="6155" width="5.85546875" style="27" bestFit="1" customWidth="1"/>
    <col min="6156" max="6156" width="6.140625" style="27" bestFit="1" customWidth="1"/>
    <col min="6157" max="6157" width="4.42578125" style="27" bestFit="1" customWidth="1"/>
    <col min="6158" max="6158" width="6.85546875" style="27" bestFit="1" customWidth="1"/>
    <col min="6159" max="6159" width="4.42578125" style="27" bestFit="1" customWidth="1"/>
    <col min="6160" max="6160" width="8.42578125" style="27" bestFit="1" customWidth="1"/>
    <col min="6161" max="6161" width="1.85546875" style="27" bestFit="1" customWidth="1"/>
    <col min="6162" max="6162" width="9.85546875" style="27" bestFit="1" customWidth="1"/>
    <col min="6163" max="6164" width="9" style="27"/>
    <col min="6165" max="6165" width="20.42578125" style="27" bestFit="1" customWidth="1"/>
    <col min="6166" max="6166" width="9.85546875" style="27" bestFit="1" customWidth="1"/>
    <col min="6167" max="6399" width="9" style="27"/>
    <col min="6400" max="6400" width="14.7109375" style="27" bestFit="1" customWidth="1"/>
    <col min="6401" max="6401" width="16" style="27" customWidth="1"/>
    <col min="6402" max="6402" width="12.85546875" style="27" bestFit="1" customWidth="1"/>
    <col min="6403" max="6404" width="10.140625" style="27" bestFit="1" customWidth="1"/>
    <col min="6405" max="6405" width="22.42578125" style="27" bestFit="1" customWidth="1"/>
    <col min="6406" max="6406" width="14" style="27" customWidth="1"/>
    <col min="6407" max="6407" width="4.85546875" style="27" bestFit="1" customWidth="1"/>
    <col min="6408" max="6408" width="9.42578125" style="27" customWidth="1"/>
    <col min="6409" max="6409" width="12.42578125" style="27" bestFit="1" customWidth="1"/>
    <col min="6410" max="6410" width="7.85546875" style="27" bestFit="1" customWidth="1"/>
    <col min="6411" max="6411" width="5.85546875" style="27" bestFit="1" customWidth="1"/>
    <col min="6412" max="6412" width="6.140625" style="27" bestFit="1" customWidth="1"/>
    <col min="6413" max="6413" width="4.42578125" style="27" bestFit="1" customWidth="1"/>
    <col min="6414" max="6414" width="6.85546875" style="27" bestFit="1" customWidth="1"/>
    <col min="6415" max="6415" width="4.42578125" style="27" bestFit="1" customWidth="1"/>
    <col min="6416" max="6416" width="8.42578125" style="27" bestFit="1" customWidth="1"/>
    <col min="6417" max="6417" width="1.85546875" style="27" bestFit="1" customWidth="1"/>
    <col min="6418" max="6418" width="9.85546875" style="27" bestFit="1" customWidth="1"/>
    <col min="6419" max="6420" width="9" style="27"/>
    <col min="6421" max="6421" width="20.42578125" style="27" bestFit="1" customWidth="1"/>
    <col min="6422" max="6422" width="9.85546875" style="27" bestFit="1" customWidth="1"/>
    <col min="6423" max="6655" width="9" style="27"/>
    <col min="6656" max="6656" width="14.7109375" style="27" bestFit="1" customWidth="1"/>
    <col min="6657" max="6657" width="16" style="27" customWidth="1"/>
    <col min="6658" max="6658" width="12.85546875" style="27" bestFit="1" customWidth="1"/>
    <col min="6659" max="6660" width="10.140625" style="27" bestFit="1" customWidth="1"/>
    <col min="6661" max="6661" width="22.42578125" style="27" bestFit="1" customWidth="1"/>
    <col min="6662" max="6662" width="14" style="27" customWidth="1"/>
    <col min="6663" max="6663" width="4.85546875" style="27" bestFit="1" customWidth="1"/>
    <col min="6664" max="6664" width="9.42578125" style="27" customWidth="1"/>
    <col min="6665" max="6665" width="12.42578125" style="27" bestFit="1" customWidth="1"/>
    <col min="6666" max="6666" width="7.85546875" style="27" bestFit="1" customWidth="1"/>
    <col min="6667" max="6667" width="5.85546875" style="27" bestFit="1" customWidth="1"/>
    <col min="6668" max="6668" width="6.140625" style="27" bestFit="1" customWidth="1"/>
    <col min="6669" max="6669" width="4.42578125" style="27" bestFit="1" customWidth="1"/>
    <col min="6670" max="6670" width="6.85546875" style="27" bestFit="1" customWidth="1"/>
    <col min="6671" max="6671" width="4.42578125" style="27" bestFit="1" customWidth="1"/>
    <col min="6672" max="6672" width="8.42578125" style="27" bestFit="1" customWidth="1"/>
    <col min="6673" max="6673" width="1.85546875" style="27" bestFit="1" customWidth="1"/>
    <col min="6674" max="6674" width="9.85546875" style="27" bestFit="1" customWidth="1"/>
    <col min="6675" max="6676" width="9" style="27"/>
    <col min="6677" max="6677" width="20.42578125" style="27" bestFit="1" customWidth="1"/>
    <col min="6678" max="6678" width="9.85546875" style="27" bestFit="1" customWidth="1"/>
    <col min="6679" max="6911" width="9" style="27"/>
    <col min="6912" max="6912" width="14.7109375" style="27" bestFit="1" customWidth="1"/>
    <col min="6913" max="6913" width="16" style="27" customWidth="1"/>
    <col min="6914" max="6914" width="12.85546875" style="27" bestFit="1" customWidth="1"/>
    <col min="6915" max="6916" width="10.140625" style="27" bestFit="1" customWidth="1"/>
    <col min="6917" max="6917" width="22.42578125" style="27" bestFit="1" customWidth="1"/>
    <col min="6918" max="6918" width="14" style="27" customWidth="1"/>
    <col min="6919" max="6919" width="4.85546875" style="27" bestFit="1" customWidth="1"/>
    <col min="6920" max="6920" width="9.42578125" style="27" customWidth="1"/>
    <col min="6921" max="6921" width="12.42578125" style="27" bestFit="1" customWidth="1"/>
    <col min="6922" max="6922" width="7.85546875" style="27" bestFit="1" customWidth="1"/>
    <col min="6923" max="6923" width="5.85546875" style="27" bestFit="1" customWidth="1"/>
    <col min="6924" max="6924" width="6.140625" style="27" bestFit="1" customWidth="1"/>
    <col min="6925" max="6925" width="4.42578125" style="27" bestFit="1" customWidth="1"/>
    <col min="6926" max="6926" width="6.85546875" style="27" bestFit="1" customWidth="1"/>
    <col min="6927" max="6927" width="4.42578125" style="27" bestFit="1" customWidth="1"/>
    <col min="6928" max="6928" width="8.42578125" style="27" bestFit="1" customWidth="1"/>
    <col min="6929" max="6929" width="1.85546875" style="27" bestFit="1" customWidth="1"/>
    <col min="6930" max="6930" width="9.85546875" style="27" bestFit="1" customWidth="1"/>
    <col min="6931" max="6932" width="9" style="27"/>
    <col min="6933" max="6933" width="20.42578125" style="27" bestFit="1" customWidth="1"/>
    <col min="6934" max="6934" width="9.85546875" style="27" bestFit="1" customWidth="1"/>
    <col min="6935" max="7167" width="9" style="27"/>
    <col min="7168" max="7168" width="14.7109375" style="27" bestFit="1" customWidth="1"/>
    <col min="7169" max="7169" width="16" style="27" customWidth="1"/>
    <col min="7170" max="7170" width="12.85546875" style="27" bestFit="1" customWidth="1"/>
    <col min="7171" max="7172" width="10.140625" style="27" bestFit="1" customWidth="1"/>
    <col min="7173" max="7173" width="22.42578125" style="27" bestFit="1" customWidth="1"/>
    <col min="7174" max="7174" width="14" style="27" customWidth="1"/>
    <col min="7175" max="7175" width="4.85546875" style="27" bestFit="1" customWidth="1"/>
    <col min="7176" max="7176" width="9.42578125" style="27" customWidth="1"/>
    <col min="7177" max="7177" width="12.42578125" style="27" bestFit="1" customWidth="1"/>
    <col min="7178" max="7178" width="7.85546875" style="27" bestFit="1" customWidth="1"/>
    <col min="7179" max="7179" width="5.85546875" style="27" bestFit="1" customWidth="1"/>
    <col min="7180" max="7180" width="6.140625" style="27" bestFit="1" customWidth="1"/>
    <col min="7181" max="7181" width="4.42578125" style="27" bestFit="1" customWidth="1"/>
    <col min="7182" max="7182" width="6.85546875" style="27" bestFit="1" customWidth="1"/>
    <col min="7183" max="7183" width="4.42578125" style="27" bestFit="1" customWidth="1"/>
    <col min="7184" max="7184" width="8.42578125" style="27" bestFit="1" customWidth="1"/>
    <col min="7185" max="7185" width="1.85546875" style="27" bestFit="1" customWidth="1"/>
    <col min="7186" max="7186" width="9.85546875" style="27" bestFit="1" customWidth="1"/>
    <col min="7187" max="7188" width="9" style="27"/>
    <col min="7189" max="7189" width="20.42578125" style="27" bestFit="1" customWidth="1"/>
    <col min="7190" max="7190" width="9.85546875" style="27" bestFit="1" customWidth="1"/>
    <col min="7191" max="7423" width="9" style="27"/>
    <col min="7424" max="7424" width="14.7109375" style="27" bestFit="1" customWidth="1"/>
    <col min="7425" max="7425" width="16" style="27" customWidth="1"/>
    <col min="7426" max="7426" width="12.85546875" style="27" bestFit="1" customWidth="1"/>
    <col min="7427" max="7428" width="10.140625" style="27" bestFit="1" customWidth="1"/>
    <col min="7429" max="7429" width="22.42578125" style="27" bestFit="1" customWidth="1"/>
    <col min="7430" max="7430" width="14" style="27" customWidth="1"/>
    <col min="7431" max="7431" width="4.85546875" style="27" bestFit="1" customWidth="1"/>
    <col min="7432" max="7432" width="9.42578125" style="27" customWidth="1"/>
    <col min="7433" max="7433" width="12.42578125" style="27" bestFit="1" customWidth="1"/>
    <col min="7434" max="7434" width="7.85546875" style="27" bestFit="1" customWidth="1"/>
    <col min="7435" max="7435" width="5.85546875" style="27" bestFit="1" customWidth="1"/>
    <col min="7436" max="7436" width="6.140625" style="27" bestFit="1" customWidth="1"/>
    <col min="7437" max="7437" width="4.42578125" style="27" bestFit="1" customWidth="1"/>
    <col min="7438" max="7438" width="6.85546875" style="27" bestFit="1" customWidth="1"/>
    <col min="7439" max="7439" width="4.42578125" style="27" bestFit="1" customWidth="1"/>
    <col min="7440" max="7440" width="8.42578125" style="27" bestFit="1" customWidth="1"/>
    <col min="7441" max="7441" width="1.85546875" style="27" bestFit="1" customWidth="1"/>
    <col min="7442" max="7442" width="9.85546875" style="27" bestFit="1" customWidth="1"/>
    <col min="7443" max="7444" width="9" style="27"/>
    <col min="7445" max="7445" width="20.42578125" style="27" bestFit="1" customWidth="1"/>
    <col min="7446" max="7446" width="9.85546875" style="27" bestFit="1" customWidth="1"/>
    <col min="7447" max="7679" width="9" style="27"/>
    <col min="7680" max="7680" width="14.7109375" style="27" bestFit="1" customWidth="1"/>
    <col min="7681" max="7681" width="16" style="27" customWidth="1"/>
    <col min="7682" max="7682" width="12.85546875" style="27" bestFit="1" customWidth="1"/>
    <col min="7683" max="7684" width="10.140625" style="27" bestFit="1" customWidth="1"/>
    <col min="7685" max="7685" width="22.42578125" style="27" bestFit="1" customWidth="1"/>
    <col min="7686" max="7686" width="14" style="27" customWidth="1"/>
    <col min="7687" max="7687" width="4.85546875" style="27" bestFit="1" customWidth="1"/>
    <col min="7688" max="7688" width="9.42578125" style="27" customWidth="1"/>
    <col min="7689" max="7689" width="12.42578125" style="27" bestFit="1" customWidth="1"/>
    <col min="7690" max="7690" width="7.85546875" style="27" bestFit="1" customWidth="1"/>
    <col min="7691" max="7691" width="5.85546875" style="27" bestFit="1" customWidth="1"/>
    <col min="7692" max="7692" width="6.140625" style="27" bestFit="1" customWidth="1"/>
    <col min="7693" max="7693" width="4.42578125" style="27" bestFit="1" customWidth="1"/>
    <col min="7694" max="7694" width="6.85546875" style="27" bestFit="1" customWidth="1"/>
    <col min="7695" max="7695" width="4.42578125" style="27" bestFit="1" customWidth="1"/>
    <col min="7696" max="7696" width="8.42578125" style="27" bestFit="1" customWidth="1"/>
    <col min="7697" max="7697" width="1.85546875" style="27" bestFit="1" customWidth="1"/>
    <col min="7698" max="7698" width="9.85546875" style="27" bestFit="1" customWidth="1"/>
    <col min="7699" max="7700" width="9" style="27"/>
    <col min="7701" max="7701" width="20.42578125" style="27" bestFit="1" customWidth="1"/>
    <col min="7702" max="7702" width="9.85546875" style="27" bestFit="1" customWidth="1"/>
    <col min="7703" max="7935" width="9" style="27"/>
    <col min="7936" max="7936" width="14.7109375" style="27" bestFit="1" customWidth="1"/>
    <col min="7937" max="7937" width="16" style="27" customWidth="1"/>
    <col min="7938" max="7938" width="12.85546875" style="27" bestFit="1" customWidth="1"/>
    <col min="7939" max="7940" width="10.140625" style="27" bestFit="1" customWidth="1"/>
    <col min="7941" max="7941" width="22.42578125" style="27" bestFit="1" customWidth="1"/>
    <col min="7942" max="7942" width="14" style="27" customWidth="1"/>
    <col min="7943" max="7943" width="4.85546875" style="27" bestFit="1" customWidth="1"/>
    <col min="7944" max="7944" width="9.42578125" style="27" customWidth="1"/>
    <col min="7945" max="7945" width="12.42578125" style="27" bestFit="1" customWidth="1"/>
    <col min="7946" max="7946" width="7.85546875" style="27" bestFit="1" customWidth="1"/>
    <col min="7947" max="7947" width="5.85546875" style="27" bestFit="1" customWidth="1"/>
    <col min="7948" max="7948" width="6.140625" style="27" bestFit="1" customWidth="1"/>
    <col min="7949" max="7949" width="4.42578125" style="27" bestFit="1" customWidth="1"/>
    <col min="7950" max="7950" width="6.85546875" style="27" bestFit="1" customWidth="1"/>
    <col min="7951" max="7951" width="4.42578125" style="27" bestFit="1" customWidth="1"/>
    <col min="7952" max="7952" width="8.42578125" style="27" bestFit="1" customWidth="1"/>
    <col min="7953" max="7953" width="1.85546875" style="27" bestFit="1" customWidth="1"/>
    <col min="7954" max="7954" width="9.85546875" style="27" bestFit="1" customWidth="1"/>
    <col min="7955" max="7956" width="9" style="27"/>
    <col min="7957" max="7957" width="20.42578125" style="27" bestFit="1" customWidth="1"/>
    <col min="7958" max="7958" width="9.85546875" style="27" bestFit="1" customWidth="1"/>
    <col min="7959" max="8191" width="9" style="27"/>
    <col min="8192" max="8192" width="14.7109375" style="27" bestFit="1" customWidth="1"/>
    <col min="8193" max="8193" width="16" style="27" customWidth="1"/>
    <col min="8194" max="8194" width="12.85546875" style="27" bestFit="1" customWidth="1"/>
    <col min="8195" max="8196" width="10.140625" style="27" bestFit="1" customWidth="1"/>
    <col min="8197" max="8197" width="22.42578125" style="27" bestFit="1" customWidth="1"/>
    <col min="8198" max="8198" width="14" style="27" customWidth="1"/>
    <col min="8199" max="8199" width="4.85546875" style="27" bestFit="1" customWidth="1"/>
    <col min="8200" max="8200" width="9.42578125" style="27" customWidth="1"/>
    <col min="8201" max="8201" width="12.42578125" style="27" bestFit="1" customWidth="1"/>
    <col min="8202" max="8202" width="7.85546875" style="27" bestFit="1" customWidth="1"/>
    <col min="8203" max="8203" width="5.85546875" style="27" bestFit="1" customWidth="1"/>
    <col min="8204" max="8204" width="6.140625" style="27" bestFit="1" customWidth="1"/>
    <col min="8205" max="8205" width="4.42578125" style="27" bestFit="1" customWidth="1"/>
    <col min="8206" max="8206" width="6.85546875" style="27" bestFit="1" customWidth="1"/>
    <col min="8207" max="8207" width="4.42578125" style="27" bestFit="1" customWidth="1"/>
    <col min="8208" max="8208" width="8.42578125" style="27" bestFit="1" customWidth="1"/>
    <col min="8209" max="8209" width="1.85546875" style="27" bestFit="1" customWidth="1"/>
    <col min="8210" max="8210" width="9.85546875" style="27" bestFit="1" customWidth="1"/>
    <col min="8211" max="8212" width="9" style="27"/>
    <col min="8213" max="8213" width="20.42578125" style="27" bestFit="1" customWidth="1"/>
    <col min="8214" max="8214" width="9.85546875" style="27" bestFit="1" customWidth="1"/>
    <col min="8215" max="8447" width="9" style="27"/>
    <col min="8448" max="8448" width="14.7109375" style="27" bestFit="1" customWidth="1"/>
    <col min="8449" max="8449" width="16" style="27" customWidth="1"/>
    <col min="8450" max="8450" width="12.85546875" style="27" bestFit="1" customWidth="1"/>
    <col min="8451" max="8452" width="10.140625" style="27" bestFit="1" customWidth="1"/>
    <col min="8453" max="8453" width="22.42578125" style="27" bestFit="1" customWidth="1"/>
    <col min="8454" max="8454" width="14" style="27" customWidth="1"/>
    <col min="8455" max="8455" width="4.85546875" style="27" bestFit="1" customWidth="1"/>
    <col min="8456" max="8456" width="9.42578125" style="27" customWidth="1"/>
    <col min="8457" max="8457" width="12.42578125" style="27" bestFit="1" customWidth="1"/>
    <col min="8458" max="8458" width="7.85546875" style="27" bestFit="1" customWidth="1"/>
    <col min="8459" max="8459" width="5.85546875" style="27" bestFit="1" customWidth="1"/>
    <col min="8460" max="8460" width="6.140625" style="27" bestFit="1" customWidth="1"/>
    <col min="8461" max="8461" width="4.42578125" style="27" bestFit="1" customWidth="1"/>
    <col min="8462" max="8462" width="6.85546875" style="27" bestFit="1" customWidth="1"/>
    <col min="8463" max="8463" width="4.42578125" style="27" bestFit="1" customWidth="1"/>
    <col min="8464" max="8464" width="8.42578125" style="27" bestFit="1" customWidth="1"/>
    <col min="8465" max="8465" width="1.85546875" style="27" bestFit="1" customWidth="1"/>
    <col min="8466" max="8466" width="9.85546875" style="27" bestFit="1" customWidth="1"/>
    <col min="8467" max="8468" width="9" style="27"/>
    <col min="8469" max="8469" width="20.42578125" style="27" bestFit="1" customWidth="1"/>
    <col min="8470" max="8470" width="9.85546875" style="27" bestFit="1" customWidth="1"/>
    <col min="8471" max="8703" width="9" style="27"/>
    <col min="8704" max="8704" width="14.7109375" style="27" bestFit="1" customWidth="1"/>
    <col min="8705" max="8705" width="16" style="27" customWidth="1"/>
    <col min="8706" max="8706" width="12.85546875" style="27" bestFit="1" customWidth="1"/>
    <col min="8707" max="8708" width="10.140625" style="27" bestFit="1" customWidth="1"/>
    <col min="8709" max="8709" width="22.42578125" style="27" bestFit="1" customWidth="1"/>
    <col min="8710" max="8710" width="14" style="27" customWidth="1"/>
    <col min="8711" max="8711" width="4.85546875" style="27" bestFit="1" customWidth="1"/>
    <col min="8712" max="8712" width="9.42578125" style="27" customWidth="1"/>
    <col min="8713" max="8713" width="12.42578125" style="27" bestFit="1" customWidth="1"/>
    <col min="8714" max="8714" width="7.85546875" style="27" bestFit="1" customWidth="1"/>
    <col min="8715" max="8715" width="5.85546875" style="27" bestFit="1" customWidth="1"/>
    <col min="8716" max="8716" width="6.140625" style="27" bestFit="1" customWidth="1"/>
    <col min="8717" max="8717" width="4.42578125" style="27" bestFit="1" customWidth="1"/>
    <col min="8718" max="8718" width="6.85546875" style="27" bestFit="1" customWidth="1"/>
    <col min="8719" max="8719" width="4.42578125" style="27" bestFit="1" customWidth="1"/>
    <col min="8720" max="8720" width="8.42578125" style="27" bestFit="1" customWidth="1"/>
    <col min="8721" max="8721" width="1.85546875" style="27" bestFit="1" customWidth="1"/>
    <col min="8722" max="8722" width="9.85546875" style="27" bestFit="1" customWidth="1"/>
    <col min="8723" max="8724" width="9" style="27"/>
    <col min="8725" max="8725" width="20.42578125" style="27" bestFit="1" customWidth="1"/>
    <col min="8726" max="8726" width="9.85546875" style="27" bestFit="1" customWidth="1"/>
    <col min="8727" max="8959" width="9" style="27"/>
    <col min="8960" max="8960" width="14.7109375" style="27" bestFit="1" customWidth="1"/>
    <col min="8961" max="8961" width="16" style="27" customWidth="1"/>
    <col min="8962" max="8962" width="12.85546875" style="27" bestFit="1" customWidth="1"/>
    <col min="8963" max="8964" width="10.140625" style="27" bestFit="1" customWidth="1"/>
    <col min="8965" max="8965" width="22.42578125" style="27" bestFit="1" customWidth="1"/>
    <col min="8966" max="8966" width="14" style="27" customWidth="1"/>
    <col min="8967" max="8967" width="4.85546875" style="27" bestFit="1" customWidth="1"/>
    <col min="8968" max="8968" width="9.42578125" style="27" customWidth="1"/>
    <col min="8969" max="8969" width="12.42578125" style="27" bestFit="1" customWidth="1"/>
    <col min="8970" max="8970" width="7.85546875" style="27" bestFit="1" customWidth="1"/>
    <col min="8971" max="8971" width="5.85546875" style="27" bestFit="1" customWidth="1"/>
    <col min="8972" max="8972" width="6.140625" style="27" bestFit="1" customWidth="1"/>
    <col min="8973" max="8973" width="4.42578125" style="27" bestFit="1" customWidth="1"/>
    <col min="8974" max="8974" width="6.85546875" style="27" bestFit="1" customWidth="1"/>
    <col min="8975" max="8975" width="4.42578125" style="27" bestFit="1" customWidth="1"/>
    <col min="8976" max="8976" width="8.42578125" style="27" bestFit="1" customWidth="1"/>
    <col min="8977" max="8977" width="1.85546875" style="27" bestFit="1" customWidth="1"/>
    <col min="8978" max="8978" width="9.85546875" style="27" bestFit="1" customWidth="1"/>
    <col min="8979" max="8980" width="9" style="27"/>
    <col min="8981" max="8981" width="20.42578125" style="27" bestFit="1" customWidth="1"/>
    <col min="8982" max="8982" width="9.85546875" style="27" bestFit="1" customWidth="1"/>
    <col min="8983" max="9215" width="9" style="27"/>
    <col min="9216" max="9216" width="14.7109375" style="27" bestFit="1" customWidth="1"/>
    <col min="9217" max="9217" width="16" style="27" customWidth="1"/>
    <col min="9218" max="9218" width="12.85546875" style="27" bestFit="1" customWidth="1"/>
    <col min="9219" max="9220" width="10.140625" style="27" bestFit="1" customWidth="1"/>
    <col min="9221" max="9221" width="22.42578125" style="27" bestFit="1" customWidth="1"/>
    <col min="9222" max="9222" width="14" style="27" customWidth="1"/>
    <col min="9223" max="9223" width="4.85546875" style="27" bestFit="1" customWidth="1"/>
    <col min="9224" max="9224" width="9.42578125" style="27" customWidth="1"/>
    <col min="9225" max="9225" width="12.42578125" style="27" bestFit="1" customWidth="1"/>
    <col min="9226" max="9226" width="7.85546875" style="27" bestFit="1" customWidth="1"/>
    <col min="9227" max="9227" width="5.85546875" style="27" bestFit="1" customWidth="1"/>
    <col min="9228" max="9228" width="6.140625" style="27" bestFit="1" customWidth="1"/>
    <col min="9229" max="9229" width="4.42578125" style="27" bestFit="1" customWidth="1"/>
    <col min="9230" max="9230" width="6.85546875" style="27" bestFit="1" customWidth="1"/>
    <col min="9231" max="9231" width="4.42578125" style="27" bestFit="1" customWidth="1"/>
    <col min="9232" max="9232" width="8.42578125" style="27" bestFit="1" customWidth="1"/>
    <col min="9233" max="9233" width="1.85546875" style="27" bestFit="1" customWidth="1"/>
    <col min="9234" max="9234" width="9.85546875" style="27" bestFit="1" customWidth="1"/>
    <col min="9235" max="9236" width="9" style="27"/>
    <col min="9237" max="9237" width="20.42578125" style="27" bestFit="1" customWidth="1"/>
    <col min="9238" max="9238" width="9.85546875" style="27" bestFit="1" customWidth="1"/>
    <col min="9239" max="9471" width="9" style="27"/>
    <col min="9472" max="9472" width="14.7109375" style="27" bestFit="1" customWidth="1"/>
    <col min="9473" max="9473" width="16" style="27" customWidth="1"/>
    <col min="9474" max="9474" width="12.85546875" style="27" bestFit="1" customWidth="1"/>
    <col min="9475" max="9476" width="10.140625" style="27" bestFit="1" customWidth="1"/>
    <col min="9477" max="9477" width="22.42578125" style="27" bestFit="1" customWidth="1"/>
    <col min="9478" max="9478" width="14" style="27" customWidth="1"/>
    <col min="9479" max="9479" width="4.85546875" style="27" bestFit="1" customWidth="1"/>
    <col min="9480" max="9480" width="9.42578125" style="27" customWidth="1"/>
    <col min="9481" max="9481" width="12.42578125" style="27" bestFit="1" customWidth="1"/>
    <col min="9482" max="9482" width="7.85546875" style="27" bestFit="1" customWidth="1"/>
    <col min="9483" max="9483" width="5.85546875" style="27" bestFit="1" customWidth="1"/>
    <col min="9484" max="9484" width="6.140625" style="27" bestFit="1" customWidth="1"/>
    <col min="9485" max="9485" width="4.42578125" style="27" bestFit="1" customWidth="1"/>
    <col min="9486" max="9486" width="6.85546875" style="27" bestFit="1" customWidth="1"/>
    <col min="9487" max="9487" width="4.42578125" style="27" bestFit="1" customWidth="1"/>
    <col min="9488" max="9488" width="8.42578125" style="27" bestFit="1" customWidth="1"/>
    <col min="9489" max="9489" width="1.85546875" style="27" bestFit="1" customWidth="1"/>
    <col min="9490" max="9490" width="9.85546875" style="27" bestFit="1" customWidth="1"/>
    <col min="9491" max="9492" width="9" style="27"/>
    <col min="9493" max="9493" width="20.42578125" style="27" bestFit="1" customWidth="1"/>
    <col min="9494" max="9494" width="9.85546875" style="27" bestFit="1" customWidth="1"/>
    <col min="9495" max="9727" width="9" style="27"/>
    <col min="9728" max="9728" width="14.7109375" style="27" bestFit="1" customWidth="1"/>
    <col min="9729" max="9729" width="16" style="27" customWidth="1"/>
    <col min="9730" max="9730" width="12.85546875" style="27" bestFit="1" customWidth="1"/>
    <col min="9731" max="9732" width="10.140625" style="27" bestFit="1" customWidth="1"/>
    <col min="9733" max="9733" width="22.42578125" style="27" bestFit="1" customWidth="1"/>
    <col min="9734" max="9734" width="14" style="27" customWidth="1"/>
    <col min="9735" max="9735" width="4.85546875" style="27" bestFit="1" customWidth="1"/>
    <col min="9736" max="9736" width="9.42578125" style="27" customWidth="1"/>
    <col min="9737" max="9737" width="12.42578125" style="27" bestFit="1" customWidth="1"/>
    <col min="9738" max="9738" width="7.85546875" style="27" bestFit="1" customWidth="1"/>
    <col min="9739" max="9739" width="5.85546875" style="27" bestFit="1" customWidth="1"/>
    <col min="9740" max="9740" width="6.140625" style="27" bestFit="1" customWidth="1"/>
    <col min="9741" max="9741" width="4.42578125" style="27" bestFit="1" customWidth="1"/>
    <col min="9742" max="9742" width="6.85546875" style="27" bestFit="1" customWidth="1"/>
    <col min="9743" max="9743" width="4.42578125" style="27" bestFit="1" customWidth="1"/>
    <col min="9744" max="9744" width="8.42578125" style="27" bestFit="1" customWidth="1"/>
    <col min="9745" max="9745" width="1.85546875" style="27" bestFit="1" customWidth="1"/>
    <col min="9746" max="9746" width="9.85546875" style="27" bestFit="1" customWidth="1"/>
    <col min="9747" max="9748" width="9" style="27"/>
    <col min="9749" max="9749" width="20.42578125" style="27" bestFit="1" customWidth="1"/>
    <col min="9750" max="9750" width="9.85546875" style="27" bestFit="1" customWidth="1"/>
    <col min="9751" max="9983" width="9" style="27"/>
    <col min="9984" max="9984" width="14.7109375" style="27" bestFit="1" customWidth="1"/>
    <col min="9985" max="9985" width="16" style="27" customWidth="1"/>
    <col min="9986" max="9986" width="12.85546875" style="27" bestFit="1" customWidth="1"/>
    <col min="9987" max="9988" width="10.140625" style="27" bestFit="1" customWidth="1"/>
    <col min="9989" max="9989" width="22.42578125" style="27" bestFit="1" customWidth="1"/>
    <col min="9990" max="9990" width="14" style="27" customWidth="1"/>
    <col min="9991" max="9991" width="4.85546875" style="27" bestFit="1" customWidth="1"/>
    <col min="9992" max="9992" width="9.42578125" style="27" customWidth="1"/>
    <col min="9993" max="9993" width="12.42578125" style="27" bestFit="1" customWidth="1"/>
    <col min="9994" max="9994" width="7.85546875" style="27" bestFit="1" customWidth="1"/>
    <col min="9995" max="9995" width="5.85546875" style="27" bestFit="1" customWidth="1"/>
    <col min="9996" max="9996" width="6.140625" style="27" bestFit="1" customWidth="1"/>
    <col min="9997" max="9997" width="4.42578125" style="27" bestFit="1" customWidth="1"/>
    <col min="9998" max="9998" width="6.85546875" style="27" bestFit="1" customWidth="1"/>
    <col min="9999" max="9999" width="4.42578125" style="27" bestFit="1" customWidth="1"/>
    <col min="10000" max="10000" width="8.42578125" style="27" bestFit="1" customWidth="1"/>
    <col min="10001" max="10001" width="1.85546875" style="27" bestFit="1" customWidth="1"/>
    <col min="10002" max="10002" width="9.85546875" style="27" bestFit="1" customWidth="1"/>
    <col min="10003" max="10004" width="9" style="27"/>
    <col min="10005" max="10005" width="20.42578125" style="27" bestFit="1" customWidth="1"/>
    <col min="10006" max="10006" width="9.85546875" style="27" bestFit="1" customWidth="1"/>
    <col min="10007" max="10239" width="9" style="27"/>
    <col min="10240" max="10240" width="14.7109375" style="27" bestFit="1" customWidth="1"/>
    <col min="10241" max="10241" width="16" style="27" customWidth="1"/>
    <col min="10242" max="10242" width="12.85546875" style="27" bestFit="1" customWidth="1"/>
    <col min="10243" max="10244" width="10.140625" style="27" bestFit="1" customWidth="1"/>
    <col min="10245" max="10245" width="22.42578125" style="27" bestFit="1" customWidth="1"/>
    <col min="10246" max="10246" width="14" style="27" customWidth="1"/>
    <col min="10247" max="10247" width="4.85546875" style="27" bestFit="1" customWidth="1"/>
    <col min="10248" max="10248" width="9.42578125" style="27" customWidth="1"/>
    <col min="10249" max="10249" width="12.42578125" style="27" bestFit="1" customWidth="1"/>
    <col min="10250" max="10250" width="7.85546875" style="27" bestFit="1" customWidth="1"/>
    <col min="10251" max="10251" width="5.85546875" style="27" bestFit="1" customWidth="1"/>
    <col min="10252" max="10252" width="6.140625" style="27" bestFit="1" customWidth="1"/>
    <col min="10253" max="10253" width="4.42578125" style="27" bestFit="1" customWidth="1"/>
    <col min="10254" max="10254" width="6.85546875" style="27" bestFit="1" customWidth="1"/>
    <col min="10255" max="10255" width="4.42578125" style="27" bestFit="1" customWidth="1"/>
    <col min="10256" max="10256" width="8.42578125" style="27" bestFit="1" customWidth="1"/>
    <col min="10257" max="10257" width="1.85546875" style="27" bestFit="1" customWidth="1"/>
    <col min="10258" max="10258" width="9.85546875" style="27" bestFit="1" customWidth="1"/>
    <col min="10259" max="10260" width="9" style="27"/>
    <col min="10261" max="10261" width="20.42578125" style="27" bestFit="1" customWidth="1"/>
    <col min="10262" max="10262" width="9.85546875" style="27" bestFit="1" customWidth="1"/>
    <col min="10263" max="10495" width="9" style="27"/>
    <col min="10496" max="10496" width="14.7109375" style="27" bestFit="1" customWidth="1"/>
    <col min="10497" max="10497" width="16" style="27" customWidth="1"/>
    <col min="10498" max="10498" width="12.85546875" style="27" bestFit="1" customWidth="1"/>
    <col min="10499" max="10500" width="10.140625" style="27" bestFit="1" customWidth="1"/>
    <col min="10501" max="10501" width="22.42578125" style="27" bestFit="1" customWidth="1"/>
    <col min="10502" max="10502" width="14" style="27" customWidth="1"/>
    <col min="10503" max="10503" width="4.85546875" style="27" bestFit="1" customWidth="1"/>
    <col min="10504" max="10504" width="9.42578125" style="27" customWidth="1"/>
    <col min="10505" max="10505" width="12.42578125" style="27" bestFit="1" customWidth="1"/>
    <col min="10506" max="10506" width="7.85546875" style="27" bestFit="1" customWidth="1"/>
    <col min="10507" max="10507" width="5.85546875" style="27" bestFit="1" customWidth="1"/>
    <col min="10508" max="10508" width="6.140625" style="27" bestFit="1" customWidth="1"/>
    <col min="10509" max="10509" width="4.42578125" style="27" bestFit="1" customWidth="1"/>
    <col min="10510" max="10510" width="6.85546875" style="27" bestFit="1" customWidth="1"/>
    <col min="10511" max="10511" width="4.42578125" style="27" bestFit="1" customWidth="1"/>
    <col min="10512" max="10512" width="8.42578125" style="27" bestFit="1" customWidth="1"/>
    <col min="10513" max="10513" width="1.85546875" style="27" bestFit="1" customWidth="1"/>
    <col min="10514" max="10514" width="9.85546875" style="27" bestFit="1" customWidth="1"/>
    <col min="10515" max="10516" width="9" style="27"/>
    <col min="10517" max="10517" width="20.42578125" style="27" bestFit="1" customWidth="1"/>
    <col min="10518" max="10518" width="9.85546875" style="27" bestFit="1" customWidth="1"/>
    <col min="10519" max="10751" width="9" style="27"/>
    <col min="10752" max="10752" width="14.7109375" style="27" bestFit="1" customWidth="1"/>
    <col min="10753" max="10753" width="16" style="27" customWidth="1"/>
    <col min="10754" max="10754" width="12.85546875" style="27" bestFit="1" customWidth="1"/>
    <col min="10755" max="10756" width="10.140625" style="27" bestFit="1" customWidth="1"/>
    <col min="10757" max="10757" width="22.42578125" style="27" bestFit="1" customWidth="1"/>
    <col min="10758" max="10758" width="14" style="27" customWidth="1"/>
    <col min="10759" max="10759" width="4.85546875" style="27" bestFit="1" customWidth="1"/>
    <col min="10760" max="10760" width="9.42578125" style="27" customWidth="1"/>
    <col min="10761" max="10761" width="12.42578125" style="27" bestFit="1" customWidth="1"/>
    <col min="10762" max="10762" width="7.85546875" style="27" bestFit="1" customWidth="1"/>
    <col min="10763" max="10763" width="5.85546875" style="27" bestFit="1" customWidth="1"/>
    <col min="10764" max="10764" width="6.140625" style="27" bestFit="1" customWidth="1"/>
    <col min="10765" max="10765" width="4.42578125" style="27" bestFit="1" customWidth="1"/>
    <col min="10766" max="10766" width="6.85546875" style="27" bestFit="1" customWidth="1"/>
    <col min="10767" max="10767" width="4.42578125" style="27" bestFit="1" customWidth="1"/>
    <col min="10768" max="10768" width="8.42578125" style="27" bestFit="1" customWidth="1"/>
    <col min="10769" max="10769" width="1.85546875" style="27" bestFit="1" customWidth="1"/>
    <col min="10770" max="10770" width="9.85546875" style="27" bestFit="1" customWidth="1"/>
    <col min="10771" max="10772" width="9" style="27"/>
    <col min="10773" max="10773" width="20.42578125" style="27" bestFit="1" customWidth="1"/>
    <col min="10774" max="10774" width="9.85546875" style="27" bestFit="1" customWidth="1"/>
    <col min="10775" max="11007" width="9" style="27"/>
    <col min="11008" max="11008" width="14.7109375" style="27" bestFit="1" customWidth="1"/>
    <col min="11009" max="11009" width="16" style="27" customWidth="1"/>
    <col min="11010" max="11010" width="12.85546875" style="27" bestFit="1" customWidth="1"/>
    <col min="11011" max="11012" width="10.140625" style="27" bestFit="1" customWidth="1"/>
    <col min="11013" max="11013" width="22.42578125" style="27" bestFit="1" customWidth="1"/>
    <col min="11014" max="11014" width="14" style="27" customWidth="1"/>
    <col min="11015" max="11015" width="4.85546875" style="27" bestFit="1" customWidth="1"/>
    <col min="11016" max="11016" width="9.42578125" style="27" customWidth="1"/>
    <col min="11017" max="11017" width="12.42578125" style="27" bestFit="1" customWidth="1"/>
    <col min="11018" max="11018" width="7.85546875" style="27" bestFit="1" customWidth="1"/>
    <col min="11019" max="11019" width="5.85546875" style="27" bestFit="1" customWidth="1"/>
    <col min="11020" max="11020" width="6.140625" style="27" bestFit="1" customWidth="1"/>
    <col min="11021" max="11021" width="4.42578125" style="27" bestFit="1" customWidth="1"/>
    <col min="11022" max="11022" width="6.85546875" style="27" bestFit="1" customWidth="1"/>
    <col min="11023" max="11023" width="4.42578125" style="27" bestFit="1" customWidth="1"/>
    <col min="11024" max="11024" width="8.42578125" style="27" bestFit="1" customWidth="1"/>
    <col min="11025" max="11025" width="1.85546875" style="27" bestFit="1" customWidth="1"/>
    <col min="11026" max="11026" width="9.85546875" style="27" bestFit="1" customWidth="1"/>
    <col min="11027" max="11028" width="9" style="27"/>
    <col min="11029" max="11029" width="20.42578125" style="27" bestFit="1" customWidth="1"/>
    <col min="11030" max="11030" width="9.85546875" style="27" bestFit="1" customWidth="1"/>
    <col min="11031" max="11263" width="9" style="27"/>
    <col min="11264" max="11264" width="14.7109375" style="27" bestFit="1" customWidth="1"/>
    <col min="11265" max="11265" width="16" style="27" customWidth="1"/>
    <col min="11266" max="11266" width="12.85546875" style="27" bestFit="1" customWidth="1"/>
    <col min="11267" max="11268" width="10.140625" style="27" bestFit="1" customWidth="1"/>
    <col min="11269" max="11269" width="22.42578125" style="27" bestFit="1" customWidth="1"/>
    <col min="11270" max="11270" width="14" style="27" customWidth="1"/>
    <col min="11271" max="11271" width="4.85546875" style="27" bestFit="1" customWidth="1"/>
    <col min="11272" max="11272" width="9.42578125" style="27" customWidth="1"/>
    <col min="11273" max="11273" width="12.42578125" style="27" bestFit="1" customWidth="1"/>
    <col min="11274" max="11274" width="7.85546875" style="27" bestFit="1" customWidth="1"/>
    <col min="11275" max="11275" width="5.85546875" style="27" bestFit="1" customWidth="1"/>
    <col min="11276" max="11276" width="6.140625" style="27" bestFit="1" customWidth="1"/>
    <col min="11277" max="11277" width="4.42578125" style="27" bestFit="1" customWidth="1"/>
    <col min="11278" max="11278" width="6.85546875" style="27" bestFit="1" customWidth="1"/>
    <col min="11279" max="11279" width="4.42578125" style="27" bestFit="1" customWidth="1"/>
    <col min="11280" max="11280" width="8.42578125" style="27" bestFit="1" customWidth="1"/>
    <col min="11281" max="11281" width="1.85546875" style="27" bestFit="1" customWidth="1"/>
    <col min="11282" max="11282" width="9.85546875" style="27" bestFit="1" customWidth="1"/>
    <col min="11283" max="11284" width="9" style="27"/>
    <col min="11285" max="11285" width="20.42578125" style="27" bestFit="1" customWidth="1"/>
    <col min="11286" max="11286" width="9.85546875" style="27" bestFit="1" customWidth="1"/>
    <col min="11287" max="11519" width="9" style="27"/>
    <col min="11520" max="11520" width="14.7109375" style="27" bestFit="1" customWidth="1"/>
    <col min="11521" max="11521" width="16" style="27" customWidth="1"/>
    <col min="11522" max="11522" width="12.85546875" style="27" bestFit="1" customWidth="1"/>
    <col min="11523" max="11524" width="10.140625" style="27" bestFit="1" customWidth="1"/>
    <col min="11525" max="11525" width="22.42578125" style="27" bestFit="1" customWidth="1"/>
    <col min="11526" max="11526" width="14" style="27" customWidth="1"/>
    <col min="11527" max="11527" width="4.85546875" style="27" bestFit="1" customWidth="1"/>
    <col min="11528" max="11528" width="9.42578125" style="27" customWidth="1"/>
    <col min="11529" max="11529" width="12.42578125" style="27" bestFit="1" customWidth="1"/>
    <col min="11530" max="11530" width="7.85546875" style="27" bestFit="1" customWidth="1"/>
    <col min="11531" max="11531" width="5.85546875" style="27" bestFit="1" customWidth="1"/>
    <col min="11532" max="11532" width="6.140625" style="27" bestFit="1" customWidth="1"/>
    <col min="11533" max="11533" width="4.42578125" style="27" bestFit="1" customWidth="1"/>
    <col min="11534" max="11534" width="6.85546875" style="27" bestFit="1" customWidth="1"/>
    <col min="11535" max="11535" width="4.42578125" style="27" bestFit="1" customWidth="1"/>
    <col min="11536" max="11536" width="8.42578125" style="27" bestFit="1" customWidth="1"/>
    <col min="11537" max="11537" width="1.85546875" style="27" bestFit="1" customWidth="1"/>
    <col min="11538" max="11538" width="9.85546875" style="27" bestFit="1" customWidth="1"/>
    <col min="11539" max="11540" width="9" style="27"/>
    <col min="11541" max="11541" width="20.42578125" style="27" bestFit="1" customWidth="1"/>
    <col min="11542" max="11542" width="9.85546875" style="27" bestFit="1" customWidth="1"/>
    <col min="11543" max="11775" width="9" style="27"/>
    <col min="11776" max="11776" width="14.7109375" style="27" bestFit="1" customWidth="1"/>
    <col min="11777" max="11777" width="16" style="27" customWidth="1"/>
    <col min="11778" max="11778" width="12.85546875" style="27" bestFit="1" customWidth="1"/>
    <col min="11779" max="11780" width="10.140625" style="27" bestFit="1" customWidth="1"/>
    <col min="11781" max="11781" width="22.42578125" style="27" bestFit="1" customWidth="1"/>
    <col min="11782" max="11782" width="14" style="27" customWidth="1"/>
    <col min="11783" max="11783" width="4.85546875" style="27" bestFit="1" customWidth="1"/>
    <col min="11784" max="11784" width="9.42578125" style="27" customWidth="1"/>
    <col min="11785" max="11785" width="12.42578125" style="27" bestFit="1" customWidth="1"/>
    <col min="11786" max="11786" width="7.85546875" style="27" bestFit="1" customWidth="1"/>
    <col min="11787" max="11787" width="5.85546875" style="27" bestFit="1" customWidth="1"/>
    <col min="11788" max="11788" width="6.140625" style="27" bestFit="1" customWidth="1"/>
    <col min="11789" max="11789" width="4.42578125" style="27" bestFit="1" customWidth="1"/>
    <col min="11790" max="11790" width="6.85546875" style="27" bestFit="1" customWidth="1"/>
    <col min="11791" max="11791" width="4.42578125" style="27" bestFit="1" customWidth="1"/>
    <col min="11792" max="11792" width="8.42578125" style="27" bestFit="1" customWidth="1"/>
    <col min="11793" max="11793" width="1.85546875" style="27" bestFit="1" customWidth="1"/>
    <col min="11794" max="11794" width="9.85546875" style="27" bestFit="1" customWidth="1"/>
    <col min="11795" max="11796" width="9" style="27"/>
    <col min="11797" max="11797" width="20.42578125" style="27" bestFit="1" customWidth="1"/>
    <col min="11798" max="11798" width="9.85546875" style="27" bestFit="1" customWidth="1"/>
    <col min="11799" max="12031" width="9" style="27"/>
    <col min="12032" max="12032" width="14.7109375" style="27" bestFit="1" customWidth="1"/>
    <col min="12033" max="12033" width="16" style="27" customWidth="1"/>
    <col min="12034" max="12034" width="12.85546875" style="27" bestFit="1" customWidth="1"/>
    <col min="12035" max="12036" width="10.140625" style="27" bestFit="1" customWidth="1"/>
    <col min="12037" max="12037" width="22.42578125" style="27" bestFit="1" customWidth="1"/>
    <col min="12038" max="12038" width="14" style="27" customWidth="1"/>
    <col min="12039" max="12039" width="4.85546875" style="27" bestFit="1" customWidth="1"/>
    <col min="12040" max="12040" width="9.42578125" style="27" customWidth="1"/>
    <col min="12041" max="12041" width="12.42578125" style="27" bestFit="1" customWidth="1"/>
    <col min="12042" max="12042" width="7.85546875" style="27" bestFit="1" customWidth="1"/>
    <col min="12043" max="12043" width="5.85546875" style="27" bestFit="1" customWidth="1"/>
    <col min="12044" max="12044" width="6.140625" style="27" bestFit="1" customWidth="1"/>
    <col min="12045" max="12045" width="4.42578125" style="27" bestFit="1" customWidth="1"/>
    <col min="12046" max="12046" width="6.85546875" style="27" bestFit="1" customWidth="1"/>
    <col min="12047" max="12047" width="4.42578125" style="27" bestFit="1" customWidth="1"/>
    <col min="12048" max="12048" width="8.42578125" style="27" bestFit="1" customWidth="1"/>
    <col min="12049" max="12049" width="1.85546875" style="27" bestFit="1" customWidth="1"/>
    <col min="12050" max="12050" width="9.85546875" style="27" bestFit="1" customWidth="1"/>
    <col min="12051" max="12052" width="9" style="27"/>
    <col min="12053" max="12053" width="20.42578125" style="27" bestFit="1" customWidth="1"/>
    <col min="12054" max="12054" width="9.85546875" style="27" bestFit="1" customWidth="1"/>
    <col min="12055" max="12287" width="9" style="27"/>
    <col min="12288" max="12288" width="14.7109375" style="27" bestFit="1" customWidth="1"/>
    <col min="12289" max="12289" width="16" style="27" customWidth="1"/>
    <col min="12290" max="12290" width="12.85546875" style="27" bestFit="1" customWidth="1"/>
    <col min="12291" max="12292" width="10.140625" style="27" bestFit="1" customWidth="1"/>
    <col min="12293" max="12293" width="22.42578125" style="27" bestFit="1" customWidth="1"/>
    <col min="12294" max="12294" width="14" style="27" customWidth="1"/>
    <col min="12295" max="12295" width="4.85546875" style="27" bestFit="1" customWidth="1"/>
    <col min="12296" max="12296" width="9.42578125" style="27" customWidth="1"/>
    <col min="12297" max="12297" width="12.42578125" style="27" bestFit="1" customWidth="1"/>
    <col min="12298" max="12298" width="7.85546875" style="27" bestFit="1" customWidth="1"/>
    <col min="12299" max="12299" width="5.85546875" style="27" bestFit="1" customWidth="1"/>
    <col min="12300" max="12300" width="6.140625" style="27" bestFit="1" customWidth="1"/>
    <col min="12301" max="12301" width="4.42578125" style="27" bestFit="1" customWidth="1"/>
    <col min="12302" max="12302" width="6.85546875" style="27" bestFit="1" customWidth="1"/>
    <col min="12303" max="12303" width="4.42578125" style="27" bestFit="1" customWidth="1"/>
    <col min="12304" max="12304" width="8.42578125" style="27" bestFit="1" customWidth="1"/>
    <col min="12305" max="12305" width="1.85546875" style="27" bestFit="1" customWidth="1"/>
    <col min="12306" max="12306" width="9.85546875" style="27" bestFit="1" customWidth="1"/>
    <col min="12307" max="12308" width="9" style="27"/>
    <col min="12309" max="12309" width="20.42578125" style="27" bestFit="1" customWidth="1"/>
    <col min="12310" max="12310" width="9.85546875" style="27" bestFit="1" customWidth="1"/>
    <col min="12311" max="12543" width="9" style="27"/>
    <col min="12544" max="12544" width="14.7109375" style="27" bestFit="1" customWidth="1"/>
    <col min="12545" max="12545" width="16" style="27" customWidth="1"/>
    <col min="12546" max="12546" width="12.85546875" style="27" bestFit="1" customWidth="1"/>
    <col min="12547" max="12548" width="10.140625" style="27" bestFit="1" customWidth="1"/>
    <col min="12549" max="12549" width="22.42578125" style="27" bestFit="1" customWidth="1"/>
    <col min="12550" max="12550" width="14" style="27" customWidth="1"/>
    <col min="12551" max="12551" width="4.85546875" style="27" bestFit="1" customWidth="1"/>
    <col min="12552" max="12552" width="9.42578125" style="27" customWidth="1"/>
    <col min="12553" max="12553" width="12.42578125" style="27" bestFit="1" customWidth="1"/>
    <col min="12554" max="12554" width="7.85546875" style="27" bestFit="1" customWidth="1"/>
    <col min="12555" max="12555" width="5.85546875" style="27" bestFit="1" customWidth="1"/>
    <col min="12556" max="12556" width="6.140625" style="27" bestFit="1" customWidth="1"/>
    <col min="12557" max="12557" width="4.42578125" style="27" bestFit="1" customWidth="1"/>
    <col min="12558" max="12558" width="6.85546875" style="27" bestFit="1" customWidth="1"/>
    <col min="12559" max="12559" width="4.42578125" style="27" bestFit="1" customWidth="1"/>
    <col min="12560" max="12560" width="8.42578125" style="27" bestFit="1" customWidth="1"/>
    <col min="12561" max="12561" width="1.85546875" style="27" bestFit="1" customWidth="1"/>
    <col min="12562" max="12562" width="9.85546875" style="27" bestFit="1" customWidth="1"/>
    <col min="12563" max="12564" width="9" style="27"/>
    <col min="12565" max="12565" width="20.42578125" style="27" bestFit="1" customWidth="1"/>
    <col min="12566" max="12566" width="9.85546875" style="27" bestFit="1" customWidth="1"/>
    <col min="12567" max="12799" width="9" style="27"/>
    <col min="12800" max="12800" width="14.7109375" style="27" bestFit="1" customWidth="1"/>
    <col min="12801" max="12801" width="16" style="27" customWidth="1"/>
    <col min="12802" max="12802" width="12.85546875" style="27" bestFit="1" customWidth="1"/>
    <col min="12803" max="12804" width="10.140625" style="27" bestFit="1" customWidth="1"/>
    <col min="12805" max="12805" width="22.42578125" style="27" bestFit="1" customWidth="1"/>
    <col min="12806" max="12806" width="14" style="27" customWidth="1"/>
    <col min="12807" max="12807" width="4.85546875" style="27" bestFit="1" customWidth="1"/>
    <col min="12808" max="12808" width="9.42578125" style="27" customWidth="1"/>
    <col min="12809" max="12809" width="12.42578125" style="27" bestFit="1" customWidth="1"/>
    <col min="12810" max="12810" width="7.85546875" style="27" bestFit="1" customWidth="1"/>
    <col min="12811" max="12811" width="5.85546875" style="27" bestFit="1" customWidth="1"/>
    <col min="12812" max="12812" width="6.140625" style="27" bestFit="1" customWidth="1"/>
    <col min="12813" max="12813" width="4.42578125" style="27" bestFit="1" customWidth="1"/>
    <col min="12814" max="12814" width="6.85546875" style="27" bestFit="1" customWidth="1"/>
    <col min="12815" max="12815" width="4.42578125" style="27" bestFit="1" customWidth="1"/>
    <col min="12816" max="12816" width="8.42578125" style="27" bestFit="1" customWidth="1"/>
    <col min="12817" max="12817" width="1.85546875" style="27" bestFit="1" customWidth="1"/>
    <col min="12818" max="12818" width="9.85546875" style="27" bestFit="1" customWidth="1"/>
    <col min="12819" max="12820" width="9" style="27"/>
    <col min="12821" max="12821" width="20.42578125" style="27" bestFit="1" customWidth="1"/>
    <col min="12822" max="12822" width="9.85546875" style="27" bestFit="1" customWidth="1"/>
    <col min="12823" max="13055" width="9" style="27"/>
    <col min="13056" max="13056" width="14.7109375" style="27" bestFit="1" customWidth="1"/>
    <col min="13057" max="13057" width="16" style="27" customWidth="1"/>
    <col min="13058" max="13058" width="12.85546875" style="27" bestFit="1" customWidth="1"/>
    <col min="13059" max="13060" width="10.140625" style="27" bestFit="1" customWidth="1"/>
    <col min="13061" max="13061" width="22.42578125" style="27" bestFit="1" customWidth="1"/>
    <col min="13062" max="13062" width="14" style="27" customWidth="1"/>
    <col min="13063" max="13063" width="4.85546875" style="27" bestFit="1" customWidth="1"/>
    <col min="13064" max="13064" width="9.42578125" style="27" customWidth="1"/>
    <col min="13065" max="13065" width="12.42578125" style="27" bestFit="1" customWidth="1"/>
    <col min="13066" max="13066" width="7.85546875" style="27" bestFit="1" customWidth="1"/>
    <col min="13067" max="13067" width="5.85546875" style="27" bestFit="1" customWidth="1"/>
    <col min="13068" max="13068" width="6.140625" style="27" bestFit="1" customWidth="1"/>
    <col min="13069" max="13069" width="4.42578125" style="27" bestFit="1" customWidth="1"/>
    <col min="13070" max="13070" width="6.85546875" style="27" bestFit="1" customWidth="1"/>
    <col min="13071" max="13071" width="4.42578125" style="27" bestFit="1" customWidth="1"/>
    <col min="13072" max="13072" width="8.42578125" style="27" bestFit="1" customWidth="1"/>
    <col min="13073" max="13073" width="1.85546875" style="27" bestFit="1" customWidth="1"/>
    <col min="13074" max="13074" width="9.85546875" style="27" bestFit="1" customWidth="1"/>
    <col min="13075" max="13076" width="9" style="27"/>
    <col min="13077" max="13077" width="20.42578125" style="27" bestFit="1" customWidth="1"/>
    <col min="13078" max="13078" width="9.85546875" style="27" bestFit="1" customWidth="1"/>
    <col min="13079" max="13311" width="9" style="27"/>
    <col min="13312" max="13312" width="14.7109375" style="27" bestFit="1" customWidth="1"/>
    <col min="13313" max="13313" width="16" style="27" customWidth="1"/>
    <col min="13314" max="13314" width="12.85546875" style="27" bestFit="1" customWidth="1"/>
    <col min="13315" max="13316" width="10.140625" style="27" bestFit="1" customWidth="1"/>
    <col min="13317" max="13317" width="22.42578125" style="27" bestFit="1" customWidth="1"/>
    <col min="13318" max="13318" width="14" style="27" customWidth="1"/>
    <col min="13319" max="13319" width="4.85546875" style="27" bestFit="1" customWidth="1"/>
    <col min="13320" max="13320" width="9.42578125" style="27" customWidth="1"/>
    <col min="13321" max="13321" width="12.42578125" style="27" bestFit="1" customWidth="1"/>
    <col min="13322" max="13322" width="7.85546875" style="27" bestFit="1" customWidth="1"/>
    <col min="13323" max="13323" width="5.85546875" style="27" bestFit="1" customWidth="1"/>
    <col min="13324" max="13324" width="6.140625" style="27" bestFit="1" customWidth="1"/>
    <col min="13325" max="13325" width="4.42578125" style="27" bestFit="1" customWidth="1"/>
    <col min="13326" max="13326" width="6.85546875" style="27" bestFit="1" customWidth="1"/>
    <col min="13327" max="13327" width="4.42578125" style="27" bestFit="1" customWidth="1"/>
    <col min="13328" max="13328" width="8.42578125" style="27" bestFit="1" customWidth="1"/>
    <col min="13329" max="13329" width="1.85546875" style="27" bestFit="1" customWidth="1"/>
    <col min="13330" max="13330" width="9.85546875" style="27" bestFit="1" customWidth="1"/>
    <col min="13331" max="13332" width="9" style="27"/>
    <col min="13333" max="13333" width="20.42578125" style="27" bestFit="1" customWidth="1"/>
    <col min="13334" max="13334" width="9.85546875" style="27" bestFit="1" customWidth="1"/>
    <col min="13335" max="13567" width="9" style="27"/>
    <col min="13568" max="13568" width="14.7109375" style="27" bestFit="1" customWidth="1"/>
    <col min="13569" max="13569" width="16" style="27" customWidth="1"/>
    <col min="13570" max="13570" width="12.85546875" style="27" bestFit="1" customWidth="1"/>
    <col min="13571" max="13572" width="10.140625" style="27" bestFit="1" customWidth="1"/>
    <col min="13573" max="13573" width="22.42578125" style="27" bestFit="1" customWidth="1"/>
    <col min="13574" max="13574" width="14" style="27" customWidth="1"/>
    <col min="13575" max="13575" width="4.85546875" style="27" bestFit="1" customWidth="1"/>
    <col min="13576" max="13576" width="9.42578125" style="27" customWidth="1"/>
    <col min="13577" max="13577" width="12.42578125" style="27" bestFit="1" customWidth="1"/>
    <col min="13578" max="13578" width="7.85546875" style="27" bestFit="1" customWidth="1"/>
    <col min="13579" max="13579" width="5.85546875" style="27" bestFit="1" customWidth="1"/>
    <col min="13580" max="13580" width="6.140625" style="27" bestFit="1" customWidth="1"/>
    <col min="13581" max="13581" width="4.42578125" style="27" bestFit="1" customWidth="1"/>
    <col min="13582" max="13582" width="6.85546875" style="27" bestFit="1" customWidth="1"/>
    <col min="13583" max="13583" width="4.42578125" style="27" bestFit="1" customWidth="1"/>
    <col min="13584" max="13584" width="8.42578125" style="27" bestFit="1" customWidth="1"/>
    <col min="13585" max="13585" width="1.85546875" style="27" bestFit="1" customWidth="1"/>
    <col min="13586" max="13586" width="9.85546875" style="27" bestFit="1" customWidth="1"/>
    <col min="13587" max="13588" width="9" style="27"/>
    <col min="13589" max="13589" width="20.42578125" style="27" bestFit="1" customWidth="1"/>
    <col min="13590" max="13590" width="9.85546875" style="27" bestFit="1" customWidth="1"/>
    <col min="13591" max="13823" width="9" style="27"/>
    <col min="13824" max="13824" width="14.7109375" style="27" bestFit="1" customWidth="1"/>
    <col min="13825" max="13825" width="16" style="27" customWidth="1"/>
    <col min="13826" max="13826" width="12.85546875" style="27" bestFit="1" customWidth="1"/>
    <col min="13827" max="13828" width="10.140625" style="27" bestFit="1" customWidth="1"/>
    <col min="13829" max="13829" width="22.42578125" style="27" bestFit="1" customWidth="1"/>
    <col min="13830" max="13830" width="14" style="27" customWidth="1"/>
    <col min="13831" max="13831" width="4.85546875" style="27" bestFit="1" customWidth="1"/>
    <col min="13832" max="13832" width="9.42578125" style="27" customWidth="1"/>
    <col min="13833" max="13833" width="12.42578125" style="27" bestFit="1" customWidth="1"/>
    <col min="13834" max="13834" width="7.85546875" style="27" bestFit="1" customWidth="1"/>
    <col min="13835" max="13835" width="5.85546875" style="27" bestFit="1" customWidth="1"/>
    <col min="13836" max="13836" width="6.140625" style="27" bestFit="1" customWidth="1"/>
    <col min="13837" max="13837" width="4.42578125" style="27" bestFit="1" customWidth="1"/>
    <col min="13838" max="13838" width="6.85546875" style="27" bestFit="1" customWidth="1"/>
    <col min="13839" max="13839" width="4.42578125" style="27" bestFit="1" customWidth="1"/>
    <col min="13840" max="13840" width="8.42578125" style="27" bestFit="1" customWidth="1"/>
    <col min="13841" max="13841" width="1.85546875" style="27" bestFit="1" customWidth="1"/>
    <col min="13842" max="13842" width="9.85546875" style="27" bestFit="1" customWidth="1"/>
    <col min="13843" max="13844" width="9" style="27"/>
    <col min="13845" max="13845" width="20.42578125" style="27" bestFit="1" customWidth="1"/>
    <col min="13846" max="13846" width="9.85546875" style="27" bestFit="1" customWidth="1"/>
    <col min="13847" max="14079" width="9" style="27"/>
    <col min="14080" max="14080" width="14.7109375" style="27" bestFit="1" customWidth="1"/>
    <col min="14081" max="14081" width="16" style="27" customWidth="1"/>
    <col min="14082" max="14082" width="12.85546875" style="27" bestFit="1" customWidth="1"/>
    <col min="14083" max="14084" width="10.140625" style="27" bestFit="1" customWidth="1"/>
    <col min="14085" max="14085" width="22.42578125" style="27" bestFit="1" customWidth="1"/>
    <col min="14086" max="14086" width="14" style="27" customWidth="1"/>
    <col min="14087" max="14087" width="4.85546875" style="27" bestFit="1" customWidth="1"/>
    <col min="14088" max="14088" width="9.42578125" style="27" customWidth="1"/>
    <col min="14089" max="14089" width="12.42578125" style="27" bestFit="1" customWidth="1"/>
    <col min="14090" max="14090" width="7.85546875" style="27" bestFit="1" customWidth="1"/>
    <col min="14091" max="14091" width="5.85546875" style="27" bestFit="1" customWidth="1"/>
    <col min="14092" max="14092" width="6.140625" style="27" bestFit="1" customWidth="1"/>
    <col min="14093" max="14093" width="4.42578125" style="27" bestFit="1" customWidth="1"/>
    <col min="14094" max="14094" width="6.85546875" style="27" bestFit="1" customWidth="1"/>
    <col min="14095" max="14095" width="4.42578125" style="27" bestFit="1" customWidth="1"/>
    <col min="14096" max="14096" width="8.42578125" style="27" bestFit="1" customWidth="1"/>
    <col min="14097" max="14097" width="1.85546875" style="27" bestFit="1" customWidth="1"/>
    <col min="14098" max="14098" width="9.85546875" style="27" bestFit="1" customWidth="1"/>
    <col min="14099" max="14100" width="9" style="27"/>
    <col min="14101" max="14101" width="20.42578125" style="27" bestFit="1" customWidth="1"/>
    <col min="14102" max="14102" width="9.85546875" style="27" bestFit="1" customWidth="1"/>
    <col min="14103" max="14335" width="9" style="27"/>
    <col min="14336" max="14336" width="14.7109375" style="27" bestFit="1" customWidth="1"/>
    <col min="14337" max="14337" width="16" style="27" customWidth="1"/>
    <col min="14338" max="14338" width="12.85546875" style="27" bestFit="1" customWidth="1"/>
    <col min="14339" max="14340" width="10.140625" style="27" bestFit="1" customWidth="1"/>
    <col min="14341" max="14341" width="22.42578125" style="27" bestFit="1" customWidth="1"/>
    <col min="14342" max="14342" width="14" style="27" customWidth="1"/>
    <col min="14343" max="14343" width="4.85546875" style="27" bestFit="1" customWidth="1"/>
    <col min="14344" max="14344" width="9.42578125" style="27" customWidth="1"/>
    <col min="14345" max="14345" width="12.42578125" style="27" bestFit="1" customWidth="1"/>
    <col min="14346" max="14346" width="7.85546875" style="27" bestFit="1" customWidth="1"/>
    <col min="14347" max="14347" width="5.85546875" style="27" bestFit="1" customWidth="1"/>
    <col min="14348" max="14348" width="6.140625" style="27" bestFit="1" customWidth="1"/>
    <col min="14349" max="14349" width="4.42578125" style="27" bestFit="1" customWidth="1"/>
    <col min="14350" max="14350" width="6.85546875" style="27" bestFit="1" customWidth="1"/>
    <col min="14351" max="14351" width="4.42578125" style="27" bestFit="1" customWidth="1"/>
    <col min="14352" max="14352" width="8.42578125" style="27" bestFit="1" customWidth="1"/>
    <col min="14353" max="14353" width="1.85546875" style="27" bestFit="1" customWidth="1"/>
    <col min="14354" max="14354" width="9.85546875" style="27" bestFit="1" customWidth="1"/>
    <col min="14355" max="14356" width="9" style="27"/>
    <col min="14357" max="14357" width="20.42578125" style="27" bestFit="1" customWidth="1"/>
    <col min="14358" max="14358" width="9.85546875" style="27" bestFit="1" customWidth="1"/>
    <col min="14359" max="14591" width="9" style="27"/>
    <col min="14592" max="14592" width="14.7109375" style="27" bestFit="1" customWidth="1"/>
    <col min="14593" max="14593" width="16" style="27" customWidth="1"/>
    <col min="14594" max="14594" width="12.85546875" style="27" bestFit="1" customWidth="1"/>
    <col min="14595" max="14596" width="10.140625" style="27" bestFit="1" customWidth="1"/>
    <col min="14597" max="14597" width="22.42578125" style="27" bestFit="1" customWidth="1"/>
    <col min="14598" max="14598" width="14" style="27" customWidth="1"/>
    <col min="14599" max="14599" width="4.85546875" style="27" bestFit="1" customWidth="1"/>
    <col min="14600" max="14600" width="9.42578125" style="27" customWidth="1"/>
    <col min="14601" max="14601" width="12.42578125" style="27" bestFit="1" customWidth="1"/>
    <col min="14602" max="14602" width="7.85546875" style="27" bestFit="1" customWidth="1"/>
    <col min="14603" max="14603" width="5.85546875" style="27" bestFit="1" customWidth="1"/>
    <col min="14604" max="14604" width="6.140625" style="27" bestFit="1" customWidth="1"/>
    <col min="14605" max="14605" width="4.42578125" style="27" bestFit="1" customWidth="1"/>
    <col min="14606" max="14606" width="6.85546875" style="27" bestFit="1" customWidth="1"/>
    <col min="14607" max="14607" width="4.42578125" style="27" bestFit="1" customWidth="1"/>
    <col min="14608" max="14608" width="8.42578125" style="27" bestFit="1" customWidth="1"/>
    <col min="14609" max="14609" width="1.85546875" style="27" bestFit="1" customWidth="1"/>
    <col min="14610" max="14610" width="9.85546875" style="27" bestFit="1" customWidth="1"/>
    <col min="14611" max="14612" width="9" style="27"/>
    <col min="14613" max="14613" width="20.42578125" style="27" bestFit="1" customWidth="1"/>
    <col min="14614" max="14614" width="9.85546875" style="27" bestFit="1" customWidth="1"/>
    <col min="14615" max="14847" width="9" style="27"/>
    <col min="14848" max="14848" width="14.7109375" style="27" bestFit="1" customWidth="1"/>
    <col min="14849" max="14849" width="16" style="27" customWidth="1"/>
    <col min="14850" max="14850" width="12.85546875" style="27" bestFit="1" customWidth="1"/>
    <col min="14851" max="14852" width="10.140625" style="27" bestFit="1" customWidth="1"/>
    <col min="14853" max="14853" width="22.42578125" style="27" bestFit="1" customWidth="1"/>
    <col min="14854" max="14854" width="14" style="27" customWidth="1"/>
    <col min="14855" max="14855" width="4.85546875" style="27" bestFit="1" customWidth="1"/>
    <col min="14856" max="14856" width="9.42578125" style="27" customWidth="1"/>
    <col min="14857" max="14857" width="12.42578125" style="27" bestFit="1" customWidth="1"/>
    <col min="14858" max="14858" width="7.85546875" style="27" bestFit="1" customWidth="1"/>
    <col min="14859" max="14859" width="5.85546875" style="27" bestFit="1" customWidth="1"/>
    <col min="14860" max="14860" width="6.140625" style="27" bestFit="1" customWidth="1"/>
    <col min="14861" max="14861" width="4.42578125" style="27" bestFit="1" customWidth="1"/>
    <col min="14862" max="14862" width="6.85546875" style="27" bestFit="1" customWidth="1"/>
    <col min="14863" max="14863" width="4.42578125" style="27" bestFit="1" customWidth="1"/>
    <col min="14864" max="14864" width="8.42578125" style="27" bestFit="1" customWidth="1"/>
    <col min="14865" max="14865" width="1.85546875" style="27" bestFit="1" customWidth="1"/>
    <col min="14866" max="14866" width="9.85546875" style="27" bestFit="1" customWidth="1"/>
    <col min="14867" max="14868" width="9" style="27"/>
    <col min="14869" max="14869" width="20.42578125" style="27" bestFit="1" customWidth="1"/>
    <col min="14870" max="14870" width="9.85546875" style="27" bestFit="1" customWidth="1"/>
    <col min="14871" max="15103" width="9" style="27"/>
    <col min="15104" max="15104" width="14.7109375" style="27" bestFit="1" customWidth="1"/>
    <col min="15105" max="15105" width="16" style="27" customWidth="1"/>
    <col min="15106" max="15106" width="12.85546875" style="27" bestFit="1" customWidth="1"/>
    <col min="15107" max="15108" width="10.140625" style="27" bestFit="1" customWidth="1"/>
    <col min="15109" max="15109" width="22.42578125" style="27" bestFit="1" customWidth="1"/>
    <col min="15110" max="15110" width="14" style="27" customWidth="1"/>
    <col min="15111" max="15111" width="4.85546875" style="27" bestFit="1" customWidth="1"/>
    <col min="15112" max="15112" width="9.42578125" style="27" customWidth="1"/>
    <col min="15113" max="15113" width="12.42578125" style="27" bestFit="1" customWidth="1"/>
    <col min="15114" max="15114" width="7.85546875" style="27" bestFit="1" customWidth="1"/>
    <col min="15115" max="15115" width="5.85546875" style="27" bestFit="1" customWidth="1"/>
    <col min="15116" max="15116" width="6.140625" style="27" bestFit="1" customWidth="1"/>
    <col min="15117" max="15117" width="4.42578125" style="27" bestFit="1" customWidth="1"/>
    <col min="15118" max="15118" width="6.85546875" style="27" bestFit="1" customWidth="1"/>
    <col min="15119" max="15119" width="4.42578125" style="27" bestFit="1" customWidth="1"/>
    <col min="15120" max="15120" width="8.42578125" style="27" bestFit="1" customWidth="1"/>
    <col min="15121" max="15121" width="1.85546875" style="27" bestFit="1" customWidth="1"/>
    <col min="15122" max="15122" width="9.85546875" style="27" bestFit="1" customWidth="1"/>
    <col min="15123" max="15124" width="9" style="27"/>
    <col min="15125" max="15125" width="20.42578125" style="27" bestFit="1" customWidth="1"/>
    <col min="15126" max="15126" width="9.85546875" style="27" bestFit="1" customWidth="1"/>
    <col min="15127" max="15359" width="9" style="27"/>
    <col min="15360" max="15360" width="14.7109375" style="27" bestFit="1" customWidth="1"/>
    <col min="15361" max="15361" width="16" style="27" customWidth="1"/>
    <col min="15362" max="15362" width="12.85546875" style="27" bestFit="1" customWidth="1"/>
    <col min="15363" max="15364" width="10.140625" style="27" bestFit="1" customWidth="1"/>
    <col min="15365" max="15365" width="22.42578125" style="27" bestFit="1" customWidth="1"/>
    <col min="15366" max="15366" width="14" style="27" customWidth="1"/>
    <col min="15367" max="15367" width="4.85546875" style="27" bestFit="1" customWidth="1"/>
    <col min="15368" max="15368" width="9.42578125" style="27" customWidth="1"/>
    <col min="15369" max="15369" width="12.42578125" style="27" bestFit="1" customWidth="1"/>
    <col min="15370" max="15370" width="7.85546875" style="27" bestFit="1" customWidth="1"/>
    <col min="15371" max="15371" width="5.85546875" style="27" bestFit="1" customWidth="1"/>
    <col min="15372" max="15372" width="6.140625" style="27" bestFit="1" customWidth="1"/>
    <col min="15373" max="15373" width="4.42578125" style="27" bestFit="1" customWidth="1"/>
    <col min="15374" max="15374" width="6.85546875" style="27" bestFit="1" customWidth="1"/>
    <col min="15375" max="15375" width="4.42578125" style="27" bestFit="1" customWidth="1"/>
    <col min="15376" max="15376" width="8.42578125" style="27" bestFit="1" customWidth="1"/>
    <col min="15377" max="15377" width="1.85546875" style="27" bestFit="1" customWidth="1"/>
    <col min="15378" max="15378" width="9.85546875" style="27" bestFit="1" customWidth="1"/>
    <col min="15379" max="15380" width="9" style="27"/>
    <col min="15381" max="15381" width="20.42578125" style="27" bestFit="1" customWidth="1"/>
    <col min="15382" max="15382" width="9.85546875" style="27" bestFit="1" customWidth="1"/>
    <col min="15383" max="15615" width="9" style="27"/>
    <col min="15616" max="15616" width="14.7109375" style="27" bestFit="1" customWidth="1"/>
    <col min="15617" max="15617" width="16" style="27" customWidth="1"/>
    <col min="15618" max="15618" width="12.85546875" style="27" bestFit="1" customWidth="1"/>
    <col min="15619" max="15620" width="10.140625" style="27" bestFit="1" customWidth="1"/>
    <col min="15621" max="15621" width="22.42578125" style="27" bestFit="1" customWidth="1"/>
    <col min="15622" max="15622" width="14" style="27" customWidth="1"/>
    <col min="15623" max="15623" width="4.85546875" style="27" bestFit="1" customWidth="1"/>
    <col min="15624" max="15624" width="9.42578125" style="27" customWidth="1"/>
    <col min="15625" max="15625" width="12.42578125" style="27" bestFit="1" customWidth="1"/>
    <col min="15626" max="15626" width="7.85546875" style="27" bestFit="1" customWidth="1"/>
    <col min="15627" max="15627" width="5.85546875" style="27" bestFit="1" customWidth="1"/>
    <col min="15628" max="15628" width="6.140625" style="27" bestFit="1" customWidth="1"/>
    <col min="15629" max="15629" width="4.42578125" style="27" bestFit="1" customWidth="1"/>
    <col min="15630" max="15630" width="6.85546875" style="27" bestFit="1" customWidth="1"/>
    <col min="15631" max="15631" width="4.42578125" style="27" bestFit="1" customWidth="1"/>
    <col min="15632" max="15632" width="8.42578125" style="27" bestFit="1" customWidth="1"/>
    <col min="15633" max="15633" width="1.85546875" style="27" bestFit="1" customWidth="1"/>
    <col min="15634" max="15634" width="9.85546875" style="27" bestFit="1" customWidth="1"/>
    <col min="15635" max="15636" width="9" style="27"/>
    <col min="15637" max="15637" width="20.42578125" style="27" bestFit="1" customWidth="1"/>
    <col min="15638" max="15638" width="9.85546875" style="27" bestFit="1" customWidth="1"/>
    <col min="15639" max="15871" width="9" style="27"/>
    <col min="15872" max="15872" width="14.7109375" style="27" bestFit="1" customWidth="1"/>
    <col min="15873" max="15873" width="16" style="27" customWidth="1"/>
    <col min="15874" max="15874" width="12.85546875" style="27" bestFit="1" customWidth="1"/>
    <col min="15875" max="15876" width="10.140625" style="27" bestFit="1" customWidth="1"/>
    <col min="15877" max="15877" width="22.42578125" style="27" bestFit="1" customWidth="1"/>
    <col min="15878" max="15878" width="14" style="27" customWidth="1"/>
    <col min="15879" max="15879" width="4.85546875" style="27" bestFit="1" customWidth="1"/>
    <col min="15880" max="15880" width="9.42578125" style="27" customWidth="1"/>
    <col min="15881" max="15881" width="12.42578125" style="27" bestFit="1" customWidth="1"/>
    <col min="15882" max="15882" width="7.85546875" style="27" bestFit="1" customWidth="1"/>
    <col min="15883" max="15883" width="5.85546875" style="27" bestFit="1" customWidth="1"/>
    <col min="15884" max="15884" width="6.140625" style="27" bestFit="1" customWidth="1"/>
    <col min="15885" max="15885" width="4.42578125" style="27" bestFit="1" customWidth="1"/>
    <col min="15886" max="15886" width="6.85546875" style="27" bestFit="1" customWidth="1"/>
    <col min="15887" max="15887" width="4.42578125" style="27" bestFit="1" customWidth="1"/>
    <col min="15888" max="15888" width="8.42578125" style="27" bestFit="1" customWidth="1"/>
    <col min="15889" max="15889" width="1.85546875" style="27" bestFit="1" customWidth="1"/>
    <col min="15890" max="15890" width="9.85546875" style="27" bestFit="1" customWidth="1"/>
    <col min="15891" max="15892" width="9" style="27"/>
    <col min="15893" max="15893" width="20.42578125" style="27" bestFit="1" customWidth="1"/>
    <col min="15894" max="15894" width="9.85546875" style="27" bestFit="1" customWidth="1"/>
    <col min="15895" max="16127" width="9" style="27"/>
    <col min="16128" max="16128" width="14.7109375" style="27" bestFit="1" customWidth="1"/>
    <col min="16129" max="16129" width="16" style="27" customWidth="1"/>
    <col min="16130" max="16130" width="12.85546875" style="27" bestFit="1" customWidth="1"/>
    <col min="16131" max="16132" width="10.140625" style="27" bestFit="1" customWidth="1"/>
    <col min="16133" max="16133" width="22.42578125" style="27" bestFit="1" customWidth="1"/>
    <col min="16134" max="16134" width="14" style="27" customWidth="1"/>
    <col min="16135" max="16135" width="4.85546875" style="27" bestFit="1" customWidth="1"/>
    <col min="16136" max="16136" width="9.42578125" style="27" customWidth="1"/>
    <col min="16137" max="16137" width="12.42578125" style="27" bestFit="1" customWidth="1"/>
    <col min="16138" max="16138" width="7.85546875" style="27" bestFit="1" customWidth="1"/>
    <col min="16139" max="16139" width="5.85546875" style="27" bestFit="1" customWidth="1"/>
    <col min="16140" max="16140" width="6.140625" style="27" bestFit="1" customWidth="1"/>
    <col min="16141" max="16141" width="4.42578125" style="27" bestFit="1" customWidth="1"/>
    <col min="16142" max="16142" width="6.85546875" style="27" bestFit="1" customWidth="1"/>
    <col min="16143" max="16143" width="4.42578125" style="27" bestFit="1" customWidth="1"/>
    <col min="16144" max="16144" width="8.42578125" style="27" bestFit="1" customWidth="1"/>
    <col min="16145" max="16145" width="1.85546875" style="27" bestFit="1" customWidth="1"/>
    <col min="16146" max="16146" width="9.85546875" style="27" bestFit="1" customWidth="1"/>
    <col min="16147" max="16148" width="9" style="27"/>
    <col min="16149" max="16149" width="20.42578125" style="27" bestFit="1" customWidth="1"/>
    <col min="16150" max="16150" width="9.85546875" style="27" bestFit="1" customWidth="1"/>
    <col min="16151" max="16384" width="9" style="27"/>
  </cols>
  <sheetData>
    <row r="1" spans="1:16" ht="17.25" thickTop="1" thickBot="1">
      <c r="A1" s="240" t="s">
        <v>31</v>
      </c>
      <c r="B1" s="41">
        <v>120000</v>
      </c>
      <c r="C1" s="41">
        <v>150000</v>
      </c>
      <c r="D1" s="215" t="s">
        <v>32</v>
      </c>
      <c r="E1" s="215"/>
      <c r="F1" s="41"/>
      <c r="G1" s="42"/>
      <c r="H1" s="27">
        <v>2015</v>
      </c>
      <c r="I1" s="27" t="s">
        <v>57</v>
      </c>
    </row>
    <row r="2" spans="1:16" ht="17.25" thickTop="1" thickBot="1">
      <c r="A2" s="234"/>
      <c r="B2" s="52">
        <f>IF(B1&lt;=6500,"0",IF(B1&lt;=30000,(B1-6500)*0.1,IF(B1&lt;=45000,(B1-30000)*0.15+2350,IF(B1&lt;=200000,(B1-45000)*0.2+4600,IF(B1&gt;200000,(B1-200000)*0.225+35600,"000")))))</f>
        <v>19600</v>
      </c>
      <c r="C2" s="53">
        <f>IF(C1&lt;=6500,"0",IF(C1&lt;=30000,(C1*0.1)-650,IF(C1&lt;=45000,(C1*0.15)-2150,IF(C1&lt;=200000,(C1*0.2)-4400,IF(C1&gt;200000,(C1*22.5%)-9400,"000")))))</f>
        <v>25600</v>
      </c>
      <c r="D2" s="18" t="s">
        <v>35</v>
      </c>
      <c r="E2" s="18" t="s">
        <v>0</v>
      </c>
      <c r="F2" s="19" t="s">
        <v>36</v>
      </c>
      <c r="G2" s="42"/>
      <c r="H2" s="27">
        <v>2016</v>
      </c>
      <c r="I2" s="27" t="s">
        <v>57</v>
      </c>
    </row>
    <row r="3" spans="1:16" ht="17.25" thickTop="1" thickBot="1">
      <c r="A3" s="41"/>
      <c r="B3" s="41"/>
      <c r="C3" s="41"/>
      <c r="D3" s="18">
        <v>0</v>
      </c>
      <c r="E3" s="18">
        <v>6500</v>
      </c>
      <c r="F3" s="18" t="s">
        <v>38</v>
      </c>
      <c r="G3" s="42"/>
    </row>
    <row r="4" spans="1:16" ht="17.25" thickTop="1" thickBot="1">
      <c r="A4" s="240" t="s">
        <v>39</v>
      </c>
      <c r="B4" s="54">
        <v>4000</v>
      </c>
      <c r="C4" s="41"/>
      <c r="D4" s="18">
        <v>6501</v>
      </c>
      <c r="E4" s="18">
        <v>30000</v>
      </c>
      <c r="F4" s="22" t="s">
        <v>58</v>
      </c>
      <c r="G4" s="42"/>
    </row>
    <row r="5" spans="1:16" ht="17.25" thickTop="1" thickBot="1">
      <c r="A5" s="234"/>
      <c r="B5" s="55">
        <f>IF(B4&lt;=2350,(B4+650)/0.1,IF(B4&lt;=4600,(B4+2150)/0.15,IF(B4&lt;=35600,(B4+4400)/0.2,IF(B4&gt;35600,(B4+9400)/0.225,"LOL"))))</f>
        <v>41000</v>
      </c>
      <c r="C5" s="41"/>
      <c r="D5" s="18">
        <v>30001</v>
      </c>
      <c r="E5" s="18">
        <v>45000</v>
      </c>
      <c r="F5" s="22" t="s">
        <v>59</v>
      </c>
      <c r="G5" s="42"/>
    </row>
    <row r="6" spans="1:16" ht="17.25" thickTop="1" thickBot="1">
      <c r="A6" s="41"/>
      <c r="B6" s="41" t="s">
        <v>42</v>
      </c>
      <c r="C6" s="41"/>
      <c r="D6" s="18">
        <v>45001</v>
      </c>
      <c r="E6" s="21">
        <v>200000</v>
      </c>
      <c r="F6" s="22" t="s">
        <v>60</v>
      </c>
      <c r="G6" s="42"/>
    </row>
    <row r="7" spans="1:16" ht="17.25" thickTop="1" thickBot="1">
      <c r="A7" s="41"/>
      <c r="B7" s="41" t="s">
        <v>42</v>
      </c>
      <c r="C7" s="41"/>
      <c r="D7" s="18">
        <v>200000</v>
      </c>
      <c r="E7" s="21" t="s">
        <v>44</v>
      </c>
      <c r="F7" s="22" t="s">
        <v>61</v>
      </c>
      <c r="G7" s="42"/>
      <c r="I7" s="208" t="s">
        <v>156</v>
      </c>
      <c r="J7" s="208"/>
      <c r="K7" s="208"/>
      <c r="L7" s="208"/>
      <c r="M7" s="208"/>
      <c r="N7" s="208"/>
      <c r="O7" s="208"/>
      <c r="P7" s="208"/>
    </row>
    <row r="8" spans="1:16" ht="17.25" thickTop="1" thickBot="1">
      <c r="A8" s="41"/>
      <c r="B8" s="41" t="s">
        <v>42</v>
      </c>
      <c r="C8" s="41"/>
      <c r="D8" s="41"/>
      <c r="E8" s="41"/>
      <c r="F8" s="41"/>
      <c r="G8" s="42"/>
      <c r="I8" s="208"/>
      <c r="J8" s="208"/>
      <c r="K8" s="208"/>
      <c r="L8" s="208"/>
      <c r="M8" s="208"/>
      <c r="N8" s="208"/>
      <c r="O8" s="208"/>
      <c r="P8" s="208"/>
    </row>
    <row r="9" spans="1:16" ht="17.25" thickTop="1" thickBot="1">
      <c r="A9" s="41"/>
      <c r="B9" s="41" t="s">
        <v>42</v>
      </c>
      <c r="C9" s="41"/>
      <c r="D9" s="241" t="s">
        <v>36</v>
      </c>
      <c r="E9" s="242"/>
      <c r="F9" s="41"/>
      <c r="G9" s="42"/>
      <c r="I9" s="208"/>
      <c r="J9" s="208"/>
      <c r="K9" s="208"/>
      <c r="L9" s="208"/>
      <c r="M9" s="208"/>
      <c r="N9" s="208"/>
      <c r="O9" s="208"/>
      <c r="P9" s="208"/>
    </row>
    <row r="10" spans="1:16" ht="17.25" customHeight="1" thickTop="1" thickBot="1">
      <c r="A10" s="41"/>
      <c r="B10" s="41" t="s">
        <v>42</v>
      </c>
      <c r="C10" s="41"/>
      <c r="D10" s="18" t="s">
        <v>35</v>
      </c>
      <c r="E10" s="18" t="s">
        <v>0</v>
      </c>
      <c r="F10" s="19" t="s">
        <v>32</v>
      </c>
      <c r="G10" s="42"/>
      <c r="I10" s="208"/>
      <c r="J10" s="208"/>
      <c r="K10" s="208"/>
      <c r="L10" s="208"/>
      <c r="M10" s="208"/>
      <c r="N10" s="208"/>
      <c r="O10" s="208"/>
      <c r="P10" s="208"/>
    </row>
    <row r="11" spans="1:16" ht="17.25" customHeight="1" thickTop="1" thickBot="1">
      <c r="A11" s="41"/>
      <c r="B11" s="41" t="s">
        <v>42</v>
      </c>
      <c r="C11" s="41"/>
      <c r="D11" s="18">
        <v>0</v>
      </c>
      <c r="E11" s="18">
        <v>2350</v>
      </c>
      <c r="F11" s="20" t="s">
        <v>62</v>
      </c>
      <c r="G11" s="42"/>
      <c r="I11" s="208"/>
      <c r="J11" s="208"/>
      <c r="K11" s="208"/>
      <c r="L11" s="208"/>
      <c r="M11" s="208"/>
      <c r="N11" s="208"/>
      <c r="O11" s="208"/>
      <c r="P11" s="208"/>
    </row>
    <row r="12" spans="1:16" ht="17.25" thickTop="1" thickBot="1">
      <c r="A12" s="41"/>
      <c r="B12" s="41" t="s">
        <v>42</v>
      </c>
      <c r="C12" s="41"/>
      <c r="D12" s="18">
        <v>2351</v>
      </c>
      <c r="E12" s="18">
        <v>4600</v>
      </c>
      <c r="F12" s="20" t="s">
        <v>63</v>
      </c>
      <c r="G12" s="42"/>
      <c r="I12" s="208"/>
      <c r="J12" s="208"/>
      <c r="K12" s="208"/>
      <c r="L12" s="208"/>
      <c r="M12" s="208"/>
      <c r="N12" s="208"/>
      <c r="O12" s="208"/>
      <c r="P12" s="208"/>
    </row>
    <row r="13" spans="1:16" ht="17.25" thickTop="1" thickBot="1">
      <c r="A13" s="41"/>
      <c r="B13" s="41" t="s">
        <v>42</v>
      </c>
      <c r="C13" s="41"/>
      <c r="D13" s="18">
        <v>4601</v>
      </c>
      <c r="E13" s="18">
        <v>35600</v>
      </c>
      <c r="F13" s="20" t="s">
        <v>64</v>
      </c>
      <c r="G13" s="42"/>
      <c r="I13" s="208"/>
      <c r="J13" s="208"/>
      <c r="K13" s="208"/>
      <c r="L13" s="208"/>
      <c r="M13" s="208"/>
      <c r="N13" s="208"/>
      <c r="O13" s="208"/>
      <c r="P13" s="208"/>
    </row>
    <row r="14" spans="1:16" ht="17.25" customHeight="1" thickTop="1" thickBot="1">
      <c r="A14" s="41"/>
      <c r="B14" s="41" t="s">
        <v>42</v>
      </c>
      <c r="C14" s="41"/>
      <c r="D14" s="18">
        <v>35601</v>
      </c>
      <c r="E14" s="21" t="s">
        <v>44</v>
      </c>
      <c r="F14" s="20" t="s">
        <v>65</v>
      </c>
      <c r="G14" s="42"/>
      <c r="I14" s="208"/>
      <c r="J14" s="208"/>
      <c r="K14" s="208"/>
      <c r="L14" s="208"/>
      <c r="M14" s="208"/>
      <c r="N14" s="208"/>
      <c r="O14" s="208"/>
      <c r="P14" s="208"/>
    </row>
    <row r="15" spans="1:16" ht="16.5" customHeight="1" thickTop="1">
      <c r="A15" s="41"/>
      <c r="B15" s="41" t="s">
        <v>42</v>
      </c>
      <c r="C15" s="41"/>
      <c r="D15" s="41"/>
      <c r="E15" s="41"/>
      <c r="F15" s="41"/>
      <c r="G15" s="42"/>
    </row>
    <row r="16" spans="1:16" ht="17.25" customHeight="1">
      <c r="A16" s="41"/>
      <c r="B16" s="41" t="s">
        <v>42</v>
      </c>
      <c r="C16" s="41"/>
      <c r="D16" s="41"/>
      <c r="E16" s="41"/>
      <c r="F16" s="41"/>
    </row>
    <row r="17" ht="15.75" customHeight="1"/>
    <row r="18" ht="15.75" customHeight="1"/>
    <row r="19" ht="15.75" customHeight="1"/>
    <row r="20" ht="15.75" customHeight="1"/>
    <row r="21" ht="15.75" customHeight="1"/>
  </sheetData>
  <mergeCells count="5">
    <mergeCell ref="I7:P14"/>
    <mergeCell ref="A1:A2"/>
    <mergeCell ref="D1:E1"/>
    <mergeCell ref="A4:A5"/>
    <mergeCell ref="D9:E9"/>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6"/>
  <sheetViews>
    <sheetView rightToLeft="1" workbookViewId="0">
      <selection activeCell="M22" sqref="M22"/>
    </sheetView>
  </sheetViews>
  <sheetFormatPr defaultRowHeight="15.75"/>
  <cols>
    <col min="1" max="1" width="14.7109375" style="27" bestFit="1" customWidth="1"/>
    <col min="2" max="2" width="16" style="27" customWidth="1"/>
    <col min="3" max="3" width="12.85546875" style="27" bestFit="1" customWidth="1"/>
    <col min="4" max="5" width="10.140625" style="27" bestFit="1" customWidth="1"/>
    <col min="6" max="6" width="25.42578125" style="27" bestFit="1" customWidth="1"/>
    <col min="7" max="7" width="4.85546875" style="27" bestFit="1" customWidth="1"/>
    <col min="8" max="8" width="9.42578125" style="27" customWidth="1"/>
    <col min="9" max="9" width="10" style="27" bestFit="1" customWidth="1"/>
    <col min="10" max="10" width="7.85546875" style="27" bestFit="1" customWidth="1"/>
    <col min="11" max="11" width="5.85546875" style="27" bestFit="1" customWidth="1"/>
    <col min="12" max="12" width="6.140625" style="27" bestFit="1" customWidth="1"/>
    <col min="13" max="13" width="4.42578125" style="27" bestFit="1" customWidth="1"/>
    <col min="14" max="14" width="6.85546875" style="27" bestFit="1" customWidth="1"/>
    <col min="15" max="15" width="4.42578125" style="27" bestFit="1" customWidth="1"/>
    <col min="16" max="16" width="8.42578125" style="27" bestFit="1" customWidth="1"/>
    <col min="17" max="17" width="1.85546875" style="27" bestFit="1" customWidth="1"/>
    <col min="18" max="18" width="9.85546875" style="27" bestFit="1" customWidth="1"/>
    <col min="19" max="20" width="9" style="27"/>
    <col min="21" max="21" width="20.42578125" style="27" bestFit="1" customWidth="1"/>
    <col min="22" max="22" width="9.85546875" style="27" bestFit="1" customWidth="1"/>
    <col min="23" max="255" width="9" style="27"/>
    <col min="256" max="256" width="14.7109375" style="27" bestFit="1" customWidth="1"/>
    <col min="257" max="257" width="16" style="27" customWidth="1"/>
    <col min="258" max="258" width="12.85546875" style="27" bestFit="1" customWidth="1"/>
    <col min="259" max="260" width="10.140625" style="27" bestFit="1" customWidth="1"/>
    <col min="261" max="261" width="22.42578125" style="27" bestFit="1" customWidth="1"/>
    <col min="262" max="262" width="14" style="27" customWidth="1"/>
    <col min="263" max="263" width="4.85546875" style="27" bestFit="1" customWidth="1"/>
    <col min="264" max="264" width="9.42578125" style="27" customWidth="1"/>
    <col min="265" max="265" width="9" style="27"/>
    <col min="266" max="266" width="7.85546875" style="27" bestFit="1" customWidth="1"/>
    <col min="267" max="267" width="5.85546875" style="27" bestFit="1" customWidth="1"/>
    <col min="268" max="268" width="6.140625" style="27" bestFit="1" customWidth="1"/>
    <col min="269" max="269" width="4.42578125" style="27" bestFit="1" customWidth="1"/>
    <col min="270" max="270" width="6.85546875" style="27" bestFit="1" customWidth="1"/>
    <col min="271" max="271" width="4.42578125" style="27" bestFit="1" customWidth="1"/>
    <col min="272" max="272" width="8.42578125" style="27" bestFit="1" customWidth="1"/>
    <col min="273" max="273" width="1.85546875" style="27" bestFit="1" customWidth="1"/>
    <col min="274" max="274" width="9.85546875" style="27" bestFit="1" customWidth="1"/>
    <col min="275" max="276" width="9" style="27"/>
    <col min="277" max="277" width="20.42578125" style="27" bestFit="1" customWidth="1"/>
    <col min="278" max="278" width="9.85546875" style="27" bestFit="1" customWidth="1"/>
    <col min="279" max="511" width="9" style="27"/>
    <col min="512" max="512" width="14.7109375" style="27" bestFit="1" customWidth="1"/>
    <col min="513" max="513" width="16" style="27" customWidth="1"/>
    <col min="514" max="514" width="12.85546875" style="27" bestFit="1" customWidth="1"/>
    <col min="515" max="516" width="10.140625" style="27" bestFit="1" customWidth="1"/>
    <col min="517" max="517" width="22.42578125" style="27" bestFit="1" customWidth="1"/>
    <col min="518" max="518" width="14" style="27" customWidth="1"/>
    <col min="519" max="519" width="4.85546875" style="27" bestFit="1" customWidth="1"/>
    <col min="520" max="520" width="9.42578125" style="27" customWidth="1"/>
    <col min="521" max="521" width="9" style="27"/>
    <col min="522" max="522" width="7.85546875" style="27" bestFit="1" customWidth="1"/>
    <col min="523" max="523" width="5.85546875" style="27" bestFit="1" customWidth="1"/>
    <col min="524" max="524" width="6.140625" style="27" bestFit="1" customWidth="1"/>
    <col min="525" max="525" width="4.42578125" style="27" bestFit="1" customWidth="1"/>
    <col min="526" max="526" width="6.85546875" style="27" bestFit="1" customWidth="1"/>
    <col min="527" max="527" width="4.42578125" style="27" bestFit="1" customWidth="1"/>
    <col min="528" max="528" width="8.42578125" style="27" bestFit="1" customWidth="1"/>
    <col min="529" max="529" width="1.85546875" style="27" bestFit="1" customWidth="1"/>
    <col min="530" max="530" width="9.85546875" style="27" bestFit="1" customWidth="1"/>
    <col min="531" max="532" width="9" style="27"/>
    <col min="533" max="533" width="20.42578125" style="27" bestFit="1" customWidth="1"/>
    <col min="534" max="534" width="9.85546875" style="27" bestFit="1" customWidth="1"/>
    <col min="535" max="767" width="9" style="27"/>
    <col min="768" max="768" width="14.7109375" style="27" bestFit="1" customWidth="1"/>
    <col min="769" max="769" width="16" style="27" customWidth="1"/>
    <col min="770" max="770" width="12.85546875" style="27" bestFit="1" customWidth="1"/>
    <col min="771" max="772" width="10.140625" style="27" bestFit="1" customWidth="1"/>
    <col min="773" max="773" width="22.42578125" style="27" bestFit="1" customWidth="1"/>
    <col min="774" max="774" width="14" style="27" customWidth="1"/>
    <col min="775" max="775" width="4.85546875" style="27" bestFit="1" customWidth="1"/>
    <col min="776" max="776" width="9.42578125" style="27" customWidth="1"/>
    <col min="777" max="777" width="9" style="27"/>
    <col min="778" max="778" width="7.85546875" style="27" bestFit="1" customWidth="1"/>
    <col min="779" max="779" width="5.85546875" style="27" bestFit="1" customWidth="1"/>
    <col min="780" max="780" width="6.140625" style="27" bestFit="1" customWidth="1"/>
    <col min="781" max="781" width="4.42578125" style="27" bestFit="1" customWidth="1"/>
    <col min="782" max="782" width="6.85546875" style="27" bestFit="1" customWidth="1"/>
    <col min="783" max="783" width="4.42578125" style="27" bestFit="1" customWidth="1"/>
    <col min="784" max="784" width="8.42578125" style="27" bestFit="1" customWidth="1"/>
    <col min="785" max="785" width="1.85546875" style="27" bestFit="1" customWidth="1"/>
    <col min="786" max="786" width="9.85546875" style="27" bestFit="1" customWidth="1"/>
    <col min="787" max="788" width="9" style="27"/>
    <col min="789" max="789" width="20.42578125" style="27" bestFit="1" customWidth="1"/>
    <col min="790" max="790" width="9.85546875" style="27" bestFit="1" customWidth="1"/>
    <col min="791" max="1023" width="9" style="27"/>
    <col min="1024" max="1024" width="14.7109375" style="27" bestFit="1" customWidth="1"/>
    <col min="1025" max="1025" width="16" style="27" customWidth="1"/>
    <col min="1026" max="1026" width="12.85546875" style="27" bestFit="1" customWidth="1"/>
    <col min="1027" max="1028" width="10.140625" style="27" bestFit="1" customWidth="1"/>
    <col min="1029" max="1029" width="22.42578125" style="27" bestFit="1" customWidth="1"/>
    <col min="1030" max="1030" width="14" style="27" customWidth="1"/>
    <col min="1031" max="1031" width="4.85546875" style="27" bestFit="1" customWidth="1"/>
    <col min="1032" max="1032" width="9.42578125" style="27" customWidth="1"/>
    <col min="1033" max="1033" width="9" style="27"/>
    <col min="1034" max="1034" width="7.85546875" style="27" bestFit="1" customWidth="1"/>
    <col min="1035" max="1035" width="5.85546875" style="27" bestFit="1" customWidth="1"/>
    <col min="1036" max="1036" width="6.140625" style="27" bestFit="1" customWidth="1"/>
    <col min="1037" max="1037" width="4.42578125" style="27" bestFit="1" customWidth="1"/>
    <col min="1038" max="1038" width="6.85546875" style="27" bestFit="1" customWidth="1"/>
    <col min="1039" max="1039" width="4.42578125" style="27" bestFit="1" customWidth="1"/>
    <col min="1040" max="1040" width="8.42578125" style="27" bestFit="1" customWidth="1"/>
    <col min="1041" max="1041" width="1.85546875" style="27" bestFit="1" customWidth="1"/>
    <col min="1042" max="1042" width="9.85546875" style="27" bestFit="1" customWidth="1"/>
    <col min="1043" max="1044" width="9" style="27"/>
    <col min="1045" max="1045" width="20.42578125" style="27" bestFit="1" customWidth="1"/>
    <col min="1046" max="1046" width="9.85546875" style="27" bestFit="1" customWidth="1"/>
    <col min="1047" max="1279" width="9" style="27"/>
    <col min="1280" max="1280" width="14.7109375" style="27" bestFit="1" customWidth="1"/>
    <col min="1281" max="1281" width="16" style="27" customWidth="1"/>
    <col min="1282" max="1282" width="12.85546875" style="27" bestFit="1" customWidth="1"/>
    <col min="1283" max="1284" width="10.140625" style="27" bestFit="1" customWidth="1"/>
    <col min="1285" max="1285" width="22.42578125" style="27" bestFit="1" customWidth="1"/>
    <col min="1286" max="1286" width="14" style="27" customWidth="1"/>
    <col min="1287" max="1287" width="4.85546875" style="27" bestFit="1" customWidth="1"/>
    <col min="1288" max="1288" width="9.42578125" style="27" customWidth="1"/>
    <col min="1289" max="1289" width="9" style="27"/>
    <col min="1290" max="1290" width="7.85546875" style="27" bestFit="1" customWidth="1"/>
    <col min="1291" max="1291" width="5.85546875" style="27" bestFit="1" customWidth="1"/>
    <col min="1292" max="1292" width="6.140625" style="27" bestFit="1" customWidth="1"/>
    <col min="1293" max="1293" width="4.42578125" style="27" bestFit="1" customWidth="1"/>
    <col min="1294" max="1294" width="6.85546875" style="27" bestFit="1" customWidth="1"/>
    <col min="1295" max="1295" width="4.42578125" style="27" bestFit="1" customWidth="1"/>
    <col min="1296" max="1296" width="8.42578125" style="27" bestFit="1" customWidth="1"/>
    <col min="1297" max="1297" width="1.85546875" style="27" bestFit="1" customWidth="1"/>
    <col min="1298" max="1298" width="9.85546875" style="27" bestFit="1" customWidth="1"/>
    <col min="1299" max="1300" width="9" style="27"/>
    <col min="1301" max="1301" width="20.42578125" style="27" bestFit="1" customWidth="1"/>
    <col min="1302" max="1302" width="9.85546875" style="27" bestFit="1" customWidth="1"/>
    <col min="1303" max="1535" width="9" style="27"/>
    <col min="1536" max="1536" width="14.7109375" style="27" bestFit="1" customWidth="1"/>
    <col min="1537" max="1537" width="16" style="27" customWidth="1"/>
    <col min="1538" max="1538" width="12.85546875" style="27" bestFit="1" customWidth="1"/>
    <col min="1539" max="1540" width="10.140625" style="27" bestFit="1" customWidth="1"/>
    <col min="1541" max="1541" width="22.42578125" style="27" bestFit="1" customWidth="1"/>
    <col min="1542" max="1542" width="14" style="27" customWidth="1"/>
    <col min="1543" max="1543" width="4.85546875" style="27" bestFit="1" customWidth="1"/>
    <col min="1544" max="1544" width="9.42578125" style="27" customWidth="1"/>
    <col min="1545" max="1545" width="9" style="27"/>
    <col min="1546" max="1546" width="7.85546875" style="27" bestFit="1" customWidth="1"/>
    <col min="1547" max="1547" width="5.85546875" style="27" bestFit="1" customWidth="1"/>
    <col min="1548" max="1548" width="6.140625" style="27" bestFit="1" customWidth="1"/>
    <col min="1549" max="1549" width="4.42578125" style="27" bestFit="1" customWidth="1"/>
    <col min="1550" max="1550" width="6.85546875" style="27" bestFit="1" customWidth="1"/>
    <col min="1551" max="1551" width="4.42578125" style="27" bestFit="1" customWidth="1"/>
    <col min="1552" max="1552" width="8.42578125" style="27" bestFit="1" customWidth="1"/>
    <col min="1553" max="1553" width="1.85546875" style="27" bestFit="1" customWidth="1"/>
    <col min="1554" max="1554" width="9.85546875" style="27" bestFit="1" customWidth="1"/>
    <col min="1555" max="1556" width="9" style="27"/>
    <col min="1557" max="1557" width="20.42578125" style="27" bestFit="1" customWidth="1"/>
    <col min="1558" max="1558" width="9.85546875" style="27" bestFit="1" customWidth="1"/>
    <col min="1559" max="1791" width="9" style="27"/>
    <col min="1792" max="1792" width="14.7109375" style="27" bestFit="1" customWidth="1"/>
    <col min="1793" max="1793" width="16" style="27" customWidth="1"/>
    <col min="1794" max="1794" width="12.85546875" style="27" bestFit="1" customWidth="1"/>
    <col min="1795" max="1796" width="10.140625" style="27" bestFit="1" customWidth="1"/>
    <col min="1797" max="1797" width="22.42578125" style="27" bestFit="1" customWidth="1"/>
    <col min="1798" max="1798" width="14" style="27" customWidth="1"/>
    <col min="1799" max="1799" width="4.85546875" style="27" bestFit="1" customWidth="1"/>
    <col min="1800" max="1800" width="9.42578125" style="27" customWidth="1"/>
    <col min="1801" max="1801" width="9" style="27"/>
    <col min="1802" max="1802" width="7.85546875" style="27" bestFit="1" customWidth="1"/>
    <col min="1803" max="1803" width="5.85546875" style="27" bestFit="1" customWidth="1"/>
    <col min="1804" max="1804" width="6.140625" style="27" bestFit="1" customWidth="1"/>
    <col min="1805" max="1805" width="4.42578125" style="27" bestFit="1" customWidth="1"/>
    <col min="1806" max="1806" width="6.85546875" style="27" bestFit="1" customWidth="1"/>
    <col min="1807" max="1807" width="4.42578125" style="27" bestFit="1" customWidth="1"/>
    <col min="1808" max="1808" width="8.42578125" style="27" bestFit="1" customWidth="1"/>
    <col min="1809" max="1809" width="1.85546875" style="27" bestFit="1" customWidth="1"/>
    <col min="1810" max="1810" width="9.85546875" style="27" bestFit="1" customWidth="1"/>
    <col min="1811" max="1812" width="9" style="27"/>
    <col min="1813" max="1813" width="20.42578125" style="27" bestFit="1" customWidth="1"/>
    <col min="1814" max="1814" width="9.85546875" style="27" bestFit="1" customWidth="1"/>
    <col min="1815" max="2047" width="9" style="27"/>
    <col min="2048" max="2048" width="14.7109375" style="27" bestFit="1" customWidth="1"/>
    <col min="2049" max="2049" width="16" style="27" customWidth="1"/>
    <col min="2050" max="2050" width="12.85546875" style="27" bestFit="1" customWidth="1"/>
    <col min="2051" max="2052" width="10.140625" style="27" bestFit="1" customWidth="1"/>
    <col min="2053" max="2053" width="22.42578125" style="27" bestFit="1" customWidth="1"/>
    <col min="2054" max="2054" width="14" style="27" customWidth="1"/>
    <col min="2055" max="2055" width="4.85546875" style="27" bestFit="1" customWidth="1"/>
    <col min="2056" max="2056" width="9.42578125" style="27" customWidth="1"/>
    <col min="2057" max="2057" width="9" style="27"/>
    <col min="2058" max="2058" width="7.85546875" style="27" bestFit="1" customWidth="1"/>
    <col min="2059" max="2059" width="5.85546875" style="27" bestFit="1" customWidth="1"/>
    <col min="2060" max="2060" width="6.140625" style="27" bestFit="1" customWidth="1"/>
    <col min="2061" max="2061" width="4.42578125" style="27" bestFit="1" customWidth="1"/>
    <col min="2062" max="2062" width="6.85546875" style="27" bestFit="1" customWidth="1"/>
    <col min="2063" max="2063" width="4.42578125" style="27" bestFit="1" customWidth="1"/>
    <col min="2064" max="2064" width="8.42578125" style="27" bestFit="1" customWidth="1"/>
    <col min="2065" max="2065" width="1.85546875" style="27" bestFit="1" customWidth="1"/>
    <col min="2066" max="2066" width="9.85546875" style="27" bestFit="1" customWidth="1"/>
    <col min="2067" max="2068" width="9" style="27"/>
    <col min="2069" max="2069" width="20.42578125" style="27" bestFit="1" customWidth="1"/>
    <col min="2070" max="2070" width="9.85546875" style="27" bestFit="1" customWidth="1"/>
    <col min="2071" max="2303" width="9" style="27"/>
    <col min="2304" max="2304" width="14.7109375" style="27" bestFit="1" customWidth="1"/>
    <col min="2305" max="2305" width="16" style="27" customWidth="1"/>
    <col min="2306" max="2306" width="12.85546875" style="27" bestFit="1" customWidth="1"/>
    <col min="2307" max="2308" width="10.140625" style="27" bestFit="1" customWidth="1"/>
    <col min="2309" max="2309" width="22.42578125" style="27" bestFit="1" customWidth="1"/>
    <col min="2310" max="2310" width="14" style="27" customWidth="1"/>
    <col min="2311" max="2311" width="4.85546875" style="27" bestFit="1" customWidth="1"/>
    <col min="2312" max="2312" width="9.42578125" style="27" customWidth="1"/>
    <col min="2313" max="2313" width="9" style="27"/>
    <col min="2314" max="2314" width="7.85546875" style="27" bestFit="1" customWidth="1"/>
    <col min="2315" max="2315" width="5.85546875" style="27" bestFit="1" customWidth="1"/>
    <col min="2316" max="2316" width="6.140625" style="27" bestFit="1" customWidth="1"/>
    <col min="2317" max="2317" width="4.42578125" style="27" bestFit="1" customWidth="1"/>
    <col min="2318" max="2318" width="6.85546875" style="27" bestFit="1" customWidth="1"/>
    <col min="2319" max="2319" width="4.42578125" style="27" bestFit="1" customWidth="1"/>
    <col min="2320" max="2320" width="8.42578125" style="27" bestFit="1" customWidth="1"/>
    <col min="2321" max="2321" width="1.85546875" style="27" bestFit="1" customWidth="1"/>
    <col min="2322" max="2322" width="9.85546875" style="27" bestFit="1" customWidth="1"/>
    <col min="2323" max="2324" width="9" style="27"/>
    <col min="2325" max="2325" width="20.42578125" style="27" bestFit="1" customWidth="1"/>
    <col min="2326" max="2326" width="9.85546875" style="27" bestFit="1" customWidth="1"/>
    <col min="2327" max="2559" width="9" style="27"/>
    <col min="2560" max="2560" width="14.7109375" style="27" bestFit="1" customWidth="1"/>
    <col min="2561" max="2561" width="16" style="27" customWidth="1"/>
    <col min="2562" max="2562" width="12.85546875" style="27" bestFit="1" customWidth="1"/>
    <col min="2563" max="2564" width="10.140625" style="27" bestFit="1" customWidth="1"/>
    <col min="2565" max="2565" width="22.42578125" style="27" bestFit="1" customWidth="1"/>
    <col min="2566" max="2566" width="14" style="27" customWidth="1"/>
    <col min="2567" max="2567" width="4.85546875" style="27" bestFit="1" customWidth="1"/>
    <col min="2568" max="2568" width="9.42578125" style="27" customWidth="1"/>
    <col min="2569" max="2569" width="9" style="27"/>
    <col min="2570" max="2570" width="7.85546875" style="27" bestFit="1" customWidth="1"/>
    <col min="2571" max="2571" width="5.85546875" style="27" bestFit="1" customWidth="1"/>
    <col min="2572" max="2572" width="6.140625" style="27" bestFit="1" customWidth="1"/>
    <col min="2573" max="2573" width="4.42578125" style="27" bestFit="1" customWidth="1"/>
    <col min="2574" max="2574" width="6.85546875" style="27" bestFit="1" customWidth="1"/>
    <col min="2575" max="2575" width="4.42578125" style="27" bestFit="1" customWidth="1"/>
    <col min="2576" max="2576" width="8.42578125" style="27" bestFit="1" customWidth="1"/>
    <col min="2577" max="2577" width="1.85546875" style="27" bestFit="1" customWidth="1"/>
    <col min="2578" max="2578" width="9.85546875" style="27" bestFit="1" customWidth="1"/>
    <col min="2579" max="2580" width="9" style="27"/>
    <col min="2581" max="2581" width="20.42578125" style="27" bestFit="1" customWidth="1"/>
    <col min="2582" max="2582" width="9.85546875" style="27" bestFit="1" customWidth="1"/>
    <col min="2583" max="2815" width="9" style="27"/>
    <col min="2816" max="2816" width="14.7109375" style="27" bestFit="1" customWidth="1"/>
    <col min="2817" max="2817" width="16" style="27" customWidth="1"/>
    <col min="2818" max="2818" width="12.85546875" style="27" bestFit="1" customWidth="1"/>
    <col min="2819" max="2820" width="10.140625" style="27" bestFit="1" customWidth="1"/>
    <col min="2821" max="2821" width="22.42578125" style="27" bestFit="1" customWidth="1"/>
    <col min="2822" max="2822" width="14" style="27" customWidth="1"/>
    <col min="2823" max="2823" width="4.85546875" style="27" bestFit="1" customWidth="1"/>
    <col min="2824" max="2824" width="9.42578125" style="27" customWidth="1"/>
    <col min="2825" max="2825" width="9" style="27"/>
    <col min="2826" max="2826" width="7.85546875" style="27" bestFit="1" customWidth="1"/>
    <col min="2827" max="2827" width="5.85546875" style="27" bestFit="1" customWidth="1"/>
    <col min="2828" max="2828" width="6.140625" style="27" bestFit="1" customWidth="1"/>
    <col min="2829" max="2829" width="4.42578125" style="27" bestFit="1" customWidth="1"/>
    <col min="2830" max="2830" width="6.85546875" style="27" bestFit="1" customWidth="1"/>
    <col min="2831" max="2831" width="4.42578125" style="27" bestFit="1" customWidth="1"/>
    <col min="2832" max="2832" width="8.42578125" style="27" bestFit="1" customWidth="1"/>
    <col min="2833" max="2833" width="1.85546875" style="27" bestFit="1" customWidth="1"/>
    <col min="2834" max="2834" width="9.85546875" style="27" bestFit="1" customWidth="1"/>
    <col min="2835" max="2836" width="9" style="27"/>
    <col min="2837" max="2837" width="20.42578125" style="27" bestFit="1" customWidth="1"/>
    <col min="2838" max="2838" width="9.85546875" style="27" bestFit="1" customWidth="1"/>
    <col min="2839" max="3071" width="9" style="27"/>
    <col min="3072" max="3072" width="14.7109375" style="27" bestFit="1" customWidth="1"/>
    <col min="3073" max="3073" width="16" style="27" customWidth="1"/>
    <col min="3074" max="3074" width="12.85546875" style="27" bestFit="1" customWidth="1"/>
    <col min="3075" max="3076" width="10.140625" style="27" bestFit="1" customWidth="1"/>
    <col min="3077" max="3077" width="22.42578125" style="27" bestFit="1" customWidth="1"/>
    <col min="3078" max="3078" width="14" style="27" customWidth="1"/>
    <col min="3079" max="3079" width="4.85546875" style="27" bestFit="1" customWidth="1"/>
    <col min="3080" max="3080" width="9.42578125" style="27" customWidth="1"/>
    <col min="3081" max="3081" width="9" style="27"/>
    <col min="3082" max="3082" width="7.85546875" style="27" bestFit="1" customWidth="1"/>
    <col min="3083" max="3083" width="5.85546875" style="27" bestFit="1" customWidth="1"/>
    <col min="3084" max="3084" width="6.140625" style="27" bestFit="1" customWidth="1"/>
    <col min="3085" max="3085" width="4.42578125" style="27" bestFit="1" customWidth="1"/>
    <col min="3086" max="3086" width="6.85546875" style="27" bestFit="1" customWidth="1"/>
    <col min="3087" max="3087" width="4.42578125" style="27" bestFit="1" customWidth="1"/>
    <col min="3088" max="3088" width="8.42578125" style="27" bestFit="1" customWidth="1"/>
    <col min="3089" max="3089" width="1.85546875" style="27" bestFit="1" customWidth="1"/>
    <col min="3090" max="3090" width="9.85546875" style="27" bestFit="1" customWidth="1"/>
    <col min="3091" max="3092" width="9" style="27"/>
    <col min="3093" max="3093" width="20.42578125" style="27" bestFit="1" customWidth="1"/>
    <col min="3094" max="3094" width="9.85546875" style="27" bestFit="1" customWidth="1"/>
    <col min="3095" max="3327" width="9" style="27"/>
    <col min="3328" max="3328" width="14.7109375" style="27" bestFit="1" customWidth="1"/>
    <col min="3329" max="3329" width="16" style="27" customWidth="1"/>
    <col min="3330" max="3330" width="12.85546875" style="27" bestFit="1" customWidth="1"/>
    <col min="3331" max="3332" width="10.140625" style="27" bestFit="1" customWidth="1"/>
    <col min="3333" max="3333" width="22.42578125" style="27" bestFit="1" customWidth="1"/>
    <col min="3334" max="3334" width="14" style="27" customWidth="1"/>
    <col min="3335" max="3335" width="4.85546875" style="27" bestFit="1" customWidth="1"/>
    <col min="3336" max="3336" width="9.42578125" style="27" customWidth="1"/>
    <col min="3337" max="3337" width="9" style="27"/>
    <col min="3338" max="3338" width="7.85546875" style="27" bestFit="1" customWidth="1"/>
    <col min="3339" max="3339" width="5.85546875" style="27" bestFit="1" customWidth="1"/>
    <col min="3340" max="3340" width="6.140625" style="27" bestFit="1" customWidth="1"/>
    <col min="3341" max="3341" width="4.42578125" style="27" bestFit="1" customWidth="1"/>
    <col min="3342" max="3342" width="6.85546875" style="27" bestFit="1" customWidth="1"/>
    <col min="3343" max="3343" width="4.42578125" style="27" bestFit="1" customWidth="1"/>
    <col min="3344" max="3344" width="8.42578125" style="27" bestFit="1" customWidth="1"/>
    <col min="3345" max="3345" width="1.85546875" style="27" bestFit="1" customWidth="1"/>
    <col min="3346" max="3346" width="9.85546875" style="27" bestFit="1" customWidth="1"/>
    <col min="3347" max="3348" width="9" style="27"/>
    <col min="3349" max="3349" width="20.42578125" style="27" bestFit="1" customWidth="1"/>
    <col min="3350" max="3350" width="9.85546875" style="27" bestFit="1" customWidth="1"/>
    <col min="3351" max="3583" width="9" style="27"/>
    <col min="3584" max="3584" width="14.7109375" style="27" bestFit="1" customWidth="1"/>
    <col min="3585" max="3585" width="16" style="27" customWidth="1"/>
    <col min="3586" max="3586" width="12.85546875" style="27" bestFit="1" customWidth="1"/>
    <col min="3587" max="3588" width="10.140625" style="27" bestFit="1" customWidth="1"/>
    <col min="3589" max="3589" width="22.42578125" style="27" bestFit="1" customWidth="1"/>
    <col min="3590" max="3590" width="14" style="27" customWidth="1"/>
    <col min="3591" max="3591" width="4.85546875" style="27" bestFit="1" customWidth="1"/>
    <col min="3592" max="3592" width="9.42578125" style="27" customWidth="1"/>
    <col min="3593" max="3593" width="9" style="27"/>
    <col min="3594" max="3594" width="7.85546875" style="27" bestFit="1" customWidth="1"/>
    <col min="3595" max="3595" width="5.85546875" style="27" bestFit="1" customWidth="1"/>
    <col min="3596" max="3596" width="6.140625" style="27" bestFit="1" customWidth="1"/>
    <col min="3597" max="3597" width="4.42578125" style="27" bestFit="1" customWidth="1"/>
    <col min="3598" max="3598" width="6.85546875" style="27" bestFit="1" customWidth="1"/>
    <col min="3599" max="3599" width="4.42578125" style="27" bestFit="1" customWidth="1"/>
    <col min="3600" max="3600" width="8.42578125" style="27" bestFit="1" customWidth="1"/>
    <col min="3601" max="3601" width="1.85546875" style="27" bestFit="1" customWidth="1"/>
    <col min="3602" max="3602" width="9.85546875" style="27" bestFit="1" customWidth="1"/>
    <col min="3603" max="3604" width="9" style="27"/>
    <col min="3605" max="3605" width="20.42578125" style="27" bestFit="1" customWidth="1"/>
    <col min="3606" max="3606" width="9.85546875" style="27" bestFit="1" customWidth="1"/>
    <col min="3607" max="3839" width="9" style="27"/>
    <col min="3840" max="3840" width="14.7109375" style="27" bestFit="1" customWidth="1"/>
    <col min="3841" max="3841" width="16" style="27" customWidth="1"/>
    <col min="3842" max="3842" width="12.85546875" style="27" bestFit="1" customWidth="1"/>
    <col min="3843" max="3844" width="10.140625" style="27" bestFit="1" customWidth="1"/>
    <col min="3845" max="3845" width="22.42578125" style="27" bestFit="1" customWidth="1"/>
    <col min="3846" max="3846" width="14" style="27" customWidth="1"/>
    <col min="3847" max="3847" width="4.85546875" style="27" bestFit="1" customWidth="1"/>
    <col min="3848" max="3848" width="9.42578125" style="27" customWidth="1"/>
    <col min="3849" max="3849" width="9" style="27"/>
    <col min="3850" max="3850" width="7.85546875" style="27" bestFit="1" customWidth="1"/>
    <col min="3851" max="3851" width="5.85546875" style="27" bestFit="1" customWidth="1"/>
    <col min="3852" max="3852" width="6.140625" style="27" bestFit="1" customWidth="1"/>
    <col min="3853" max="3853" width="4.42578125" style="27" bestFit="1" customWidth="1"/>
    <col min="3854" max="3854" width="6.85546875" style="27" bestFit="1" customWidth="1"/>
    <col min="3855" max="3855" width="4.42578125" style="27" bestFit="1" customWidth="1"/>
    <col min="3856" max="3856" width="8.42578125" style="27" bestFit="1" customWidth="1"/>
    <col min="3857" max="3857" width="1.85546875" style="27" bestFit="1" customWidth="1"/>
    <col min="3858" max="3858" width="9.85546875" style="27" bestFit="1" customWidth="1"/>
    <col min="3859" max="3860" width="9" style="27"/>
    <col min="3861" max="3861" width="20.42578125" style="27" bestFit="1" customWidth="1"/>
    <col min="3862" max="3862" width="9.85546875" style="27" bestFit="1" customWidth="1"/>
    <col min="3863" max="4095" width="9" style="27"/>
    <col min="4096" max="4096" width="14.7109375" style="27" bestFit="1" customWidth="1"/>
    <col min="4097" max="4097" width="16" style="27" customWidth="1"/>
    <col min="4098" max="4098" width="12.85546875" style="27" bestFit="1" customWidth="1"/>
    <col min="4099" max="4100" width="10.140625" style="27" bestFit="1" customWidth="1"/>
    <col min="4101" max="4101" width="22.42578125" style="27" bestFit="1" customWidth="1"/>
    <col min="4102" max="4102" width="14" style="27" customWidth="1"/>
    <col min="4103" max="4103" width="4.85546875" style="27" bestFit="1" customWidth="1"/>
    <col min="4104" max="4104" width="9.42578125" style="27" customWidth="1"/>
    <col min="4105" max="4105" width="9" style="27"/>
    <col min="4106" max="4106" width="7.85546875" style="27" bestFit="1" customWidth="1"/>
    <col min="4107" max="4107" width="5.85546875" style="27" bestFit="1" customWidth="1"/>
    <col min="4108" max="4108" width="6.140625" style="27" bestFit="1" customWidth="1"/>
    <col min="4109" max="4109" width="4.42578125" style="27" bestFit="1" customWidth="1"/>
    <col min="4110" max="4110" width="6.85546875" style="27" bestFit="1" customWidth="1"/>
    <col min="4111" max="4111" width="4.42578125" style="27" bestFit="1" customWidth="1"/>
    <col min="4112" max="4112" width="8.42578125" style="27" bestFit="1" customWidth="1"/>
    <col min="4113" max="4113" width="1.85546875" style="27" bestFit="1" customWidth="1"/>
    <col min="4114" max="4114" width="9.85546875" style="27" bestFit="1" customWidth="1"/>
    <col min="4115" max="4116" width="9" style="27"/>
    <col min="4117" max="4117" width="20.42578125" style="27" bestFit="1" customWidth="1"/>
    <col min="4118" max="4118" width="9.85546875" style="27" bestFit="1" customWidth="1"/>
    <col min="4119" max="4351" width="9" style="27"/>
    <col min="4352" max="4352" width="14.7109375" style="27" bestFit="1" customWidth="1"/>
    <col min="4353" max="4353" width="16" style="27" customWidth="1"/>
    <col min="4354" max="4354" width="12.85546875" style="27" bestFit="1" customWidth="1"/>
    <col min="4355" max="4356" width="10.140625" style="27" bestFit="1" customWidth="1"/>
    <col min="4357" max="4357" width="22.42578125" style="27" bestFit="1" customWidth="1"/>
    <col min="4358" max="4358" width="14" style="27" customWidth="1"/>
    <col min="4359" max="4359" width="4.85546875" style="27" bestFit="1" customWidth="1"/>
    <col min="4360" max="4360" width="9.42578125" style="27" customWidth="1"/>
    <col min="4361" max="4361" width="9" style="27"/>
    <col min="4362" max="4362" width="7.85546875" style="27" bestFit="1" customWidth="1"/>
    <col min="4363" max="4363" width="5.85546875" style="27" bestFit="1" customWidth="1"/>
    <col min="4364" max="4364" width="6.140625" style="27" bestFit="1" customWidth="1"/>
    <col min="4365" max="4365" width="4.42578125" style="27" bestFit="1" customWidth="1"/>
    <col min="4366" max="4366" width="6.85546875" style="27" bestFit="1" customWidth="1"/>
    <col min="4367" max="4367" width="4.42578125" style="27" bestFit="1" customWidth="1"/>
    <col min="4368" max="4368" width="8.42578125" style="27" bestFit="1" customWidth="1"/>
    <col min="4369" max="4369" width="1.85546875" style="27" bestFit="1" customWidth="1"/>
    <col min="4370" max="4370" width="9.85546875" style="27" bestFit="1" customWidth="1"/>
    <col min="4371" max="4372" width="9" style="27"/>
    <col min="4373" max="4373" width="20.42578125" style="27" bestFit="1" customWidth="1"/>
    <col min="4374" max="4374" width="9.85546875" style="27" bestFit="1" customWidth="1"/>
    <col min="4375" max="4607" width="9" style="27"/>
    <col min="4608" max="4608" width="14.7109375" style="27" bestFit="1" customWidth="1"/>
    <col min="4609" max="4609" width="16" style="27" customWidth="1"/>
    <col min="4610" max="4610" width="12.85546875" style="27" bestFit="1" customWidth="1"/>
    <col min="4611" max="4612" width="10.140625" style="27" bestFit="1" customWidth="1"/>
    <col min="4613" max="4613" width="22.42578125" style="27" bestFit="1" customWidth="1"/>
    <col min="4614" max="4614" width="14" style="27" customWidth="1"/>
    <col min="4615" max="4615" width="4.85546875" style="27" bestFit="1" customWidth="1"/>
    <col min="4616" max="4616" width="9.42578125" style="27" customWidth="1"/>
    <col min="4617" max="4617" width="9" style="27"/>
    <col min="4618" max="4618" width="7.85546875" style="27" bestFit="1" customWidth="1"/>
    <col min="4619" max="4619" width="5.85546875" style="27" bestFit="1" customWidth="1"/>
    <col min="4620" max="4620" width="6.140625" style="27" bestFit="1" customWidth="1"/>
    <col min="4621" max="4621" width="4.42578125" style="27" bestFit="1" customWidth="1"/>
    <col min="4622" max="4622" width="6.85546875" style="27" bestFit="1" customWidth="1"/>
    <col min="4623" max="4623" width="4.42578125" style="27" bestFit="1" customWidth="1"/>
    <col min="4624" max="4624" width="8.42578125" style="27" bestFit="1" customWidth="1"/>
    <col min="4625" max="4625" width="1.85546875" style="27" bestFit="1" customWidth="1"/>
    <col min="4626" max="4626" width="9.85546875" style="27" bestFit="1" customWidth="1"/>
    <col min="4627" max="4628" width="9" style="27"/>
    <col min="4629" max="4629" width="20.42578125" style="27" bestFit="1" customWidth="1"/>
    <col min="4630" max="4630" width="9.85546875" style="27" bestFit="1" customWidth="1"/>
    <col min="4631" max="4863" width="9" style="27"/>
    <col min="4864" max="4864" width="14.7109375" style="27" bestFit="1" customWidth="1"/>
    <col min="4865" max="4865" width="16" style="27" customWidth="1"/>
    <col min="4866" max="4866" width="12.85546875" style="27" bestFit="1" customWidth="1"/>
    <col min="4867" max="4868" width="10.140625" style="27" bestFit="1" customWidth="1"/>
    <col min="4869" max="4869" width="22.42578125" style="27" bestFit="1" customWidth="1"/>
    <col min="4870" max="4870" width="14" style="27" customWidth="1"/>
    <col min="4871" max="4871" width="4.85546875" style="27" bestFit="1" customWidth="1"/>
    <col min="4872" max="4872" width="9.42578125" style="27" customWidth="1"/>
    <col min="4873" max="4873" width="9" style="27"/>
    <col min="4874" max="4874" width="7.85546875" style="27" bestFit="1" customWidth="1"/>
    <col min="4875" max="4875" width="5.85546875" style="27" bestFit="1" customWidth="1"/>
    <col min="4876" max="4876" width="6.140625" style="27" bestFit="1" customWidth="1"/>
    <col min="4877" max="4877" width="4.42578125" style="27" bestFit="1" customWidth="1"/>
    <col min="4878" max="4878" width="6.85546875" style="27" bestFit="1" customWidth="1"/>
    <col min="4879" max="4879" width="4.42578125" style="27" bestFit="1" customWidth="1"/>
    <col min="4880" max="4880" width="8.42578125" style="27" bestFit="1" customWidth="1"/>
    <col min="4881" max="4881" width="1.85546875" style="27" bestFit="1" customWidth="1"/>
    <col min="4882" max="4882" width="9.85546875" style="27" bestFit="1" customWidth="1"/>
    <col min="4883" max="4884" width="9" style="27"/>
    <col min="4885" max="4885" width="20.42578125" style="27" bestFit="1" customWidth="1"/>
    <col min="4886" max="4886" width="9.85546875" style="27" bestFit="1" customWidth="1"/>
    <col min="4887" max="5119" width="9" style="27"/>
    <col min="5120" max="5120" width="14.7109375" style="27" bestFit="1" customWidth="1"/>
    <col min="5121" max="5121" width="16" style="27" customWidth="1"/>
    <col min="5122" max="5122" width="12.85546875" style="27" bestFit="1" customWidth="1"/>
    <col min="5123" max="5124" width="10.140625" style="27" bestFit="1" customWidth="1"/>
    <col min="5125" max="5125" width="22.42578125" style="27" bestFit="1" customWidth="1"/>
    <col min="5126" max="5126" width="14" style="27" customWidth="1"/>
    <col min="5127" max="5127" width="4.85546875" style="27" bestFit="1" customWidth="1"/>
    <col min="5128" max="5128" width="9.42578125" style="27" customWidth="1"/>
    <col min="5129" max="5129" width="9" style="27"/>
    <col min="5130" max="5130" width="7.85546875" style="27" bestFit="1" customWidth="1"/>
    <col min="5131" max="5131" width="5.85546875" style="27" bestFit="1" customWidth="1"/>
    <col min="5132" max="5132" width="6.140625" style="27" bestFit="1" customWidth="1"/>
    <col min="5133" max="5133" width="4.42578125" style="27" bestFit="1" customWidth="1"/>
    <col min="5134" max="5134" width="6.85546875" style="27" bestFit="1" customWidth="1"/>
    <col min="5135" max="5135" width="4.42578125" style="27" bestFit="1" customWidth="1"/>
    <col min="5136" max="5136" width="8.42578125" style="27" bestFit="1" customWidth="1"/>
    <col min="5137" max="5137" width="1.85546875" style="27" bestFit="1" customWidth="1"/>
    <col min="5138" max="5138" width="9.85546875" style="27" bestFit="1" customWidth="1"/>
    <col min="5139" max="5140" width="9" style="27"/>
    <col min="5141" max="5141" width="20.42578125" style="27" bestFit="1" customWidth="1"/>
    <col min="5142" max="5142" width="9.85546875" style="27" bestFit="1" customWidth="1"/>
    <col min="5143" max="5375" width="9" style="27"/>
    <col min="5376" max="5376" width="14.7109375" style="27" bestFit="1" customWidth="1"/>
    <col min="5377" max="5377" width="16" style="27" customWidth="1"/>
    <col min="5378" max="5378" width="12.85546875" style="27" bestFit="1" customWidth="1"/>
    <col min="5379" max="5380" width="10.140625" style="27" bestFit="1" customWidth="1"/>
    <col min="5381" max="5381" width="22.42578125" style="27" bestFit="1" customWidth="1"/>
    <col min="5382" max="5382" width="14" style="27" customWidth="1"/>
    <col min="5383" max="5383" width="4.85546875" style="27" bestFit="1" customWidth="1"/>
    <col min="5384" max="5384" width="9.42578125" style="27" customWidth="1"/>
    <col min="5385" max="5385" width="9" style="27"/>
    <col min="5386" max="5386" width="7.85546875" style="27" bestFit="1" customWidth="1"/>
    <col min="5387" max="5387" width="5.85546875" style="27" bestFit="1" customWidth="1"/>
    <col min="5388" max="5388" width="6.140625" style="27" bestFit="1" customWidth="1"/>
    <col min="5389" max="5389" width="4.42578125" style="27" bestFit="1" customWidth="1"/>
    <col min="5390" max="5390" width="6.85546875" style="27" bestFit="1" customWidth="1"/>
    <col min="5391" max="5391" width="4.42578125" style="27" bestFit="1" customWidth="1"/>
    <col min="5392" max="5392" width="8.42578125" style="27" bestFit="1" customWidth="1"/>
    <col min="5393" max="5393" width="1.85546875" style="27" bestFit="1" customWidth="1"/>
    <col min="5394" max="5394" width="9.85546875" style="27" bestFit="1" customWidth="1"/>
    <col min="5395" max="5396" width="9" style="27"/>
    <col min="5397" max="5397" width="20.42578125" style="27" bestFit="1" customWidth="1"/>
    <col min="5398" max="5398" width="9.85546875" style="27" bestFit="1" customWidth="1"/>
    <col min="5399" max="5631" width="9" style="27"/>
    <col min="5632" max="5632" width="14.7109375" style="27" bestFit="1" customWidth="1"/>
    <col min="5633" max="5633" width="16" style="27" customWidth="1"/>
    <col min="5634" max="5634" width="12.85546875" style="27" bestFit="1" customWidth="1"/>
    <col min="5635" max="5636" width="10.140625" style="27" bestFit="1" customWidth="1"/>
    <col min="5637" max="5637" width="22.42578125" style="27" bestFit="1" customWidth="1"/>
    <col min="5638" max="5638" width="14" style="27" customWidth="1"/>
    <col min="5639" max="5639" width="4.85546875" style="27" bestFit="1" customWidth="1"/>
    <col min="5640" max="5640" width="9.42578125" style="27" customWidth="1"/>
    <col min="5641" max="5641" width="9" style="27"/>
    <col min="5642" max="5642" width="7.85546875" style="27" bestFit="1" customWidth="1"/>
    <col min="5643" max="5643" width="5.85546875" style="27" bestFit="1" customWidth="1"/>
    <col min="5644" max="5644" width="6.140625" style="27" bestFit="1" customWidth="1"/>
    <col min="5645" max="5645" width="4.42578125" style="27" bestFit="1" customWidth="1"/>
    <col min="5646" max="5646" width="6.85546875" style="27" bestFit="1" customWidth="1"/>
    <col min="5647" max="5647" width="4.42578125" style="27" bestFit="1" customWidth="1"/>
    <col min="5648" max="5648" width="8.42578125" style="27" bestFit="1" customWidth="1"/>
    <col min="5649" max="5649" width="1.85546875" style="27" bestFit="1" customWidth="1"/>
    <col min="5650" max="5650" width="9.85546875" style="27" bestFit="1" customWidth="1"/>
    <col min="5651" max="5652" width="9" style="27"/>
    <col min="5653" max="5653" width="20.42578125" style="27" bestFit="1" customWidth="1"/>
    <col min="5654" max="5654" width="9.85546875" style="27" bestFit="1" customWidth="1"/>
    <col min="5655" max="5887" width="9" style="27"/>
    <col min="5888" max="5888" width="14.7109375" style="27" bestFit="1" customWidth="1"/>
    <col min="5889" max="5889" width="16" style="27" customWidth="1"/>
    <col min="5890" max="5890" width="12.85546875" style="27" bestFit="1" customWidth="1"/>
    <col min="5891" max="5892" width="10.140625" style="27" bestFit="1" customWidth="1"/>
    <col min="5893" max="5893" width="22.42578125" style="27" bestFit="1" customWidth="1"/>
    <col min="5894" max="5894" width="14" style="27" customWidth="1"/>
    <col min="5895" max="5895" width="4.85546875" style="27" bestFit="1" customWidth="1"/>
    <col min="5896" max="5896" width="9.42578125" style="27" customWidth="1"/>
    <col min="5897" max="5897" width="9" style="27"/>
    <col min="5898" max="5898" width="7.85546875" style="27" bestFit="1" customWidth="1"/>
    <col min="5899" max="5899" width="5.85546875" style="27" bestFit="1" customWidth="1"/>
    <col min="5900" max="5900" width="6.140625" style="27" bestFit="1" customWidth="1"/>
    <col min="5901" max="5901" width="4.42578125" style="27" bestFit="1" customWidth="1"/>
    <col min="5902" max="5902" width="6.85546875" style="27" bestFit="1" customWidth="1"/>
    <col min="5903" max="5903" width="4.42578125" style="27" bestFit="1" customWidth="1"/>
    <col min="5904" max="5904" width="8.42578125" style="27" bestFit="1" customWidth="1"/>
    <col min="5905" max="5905" width="1.85546875" style="27" bestFit="1" customWidth="1"/>
    <col min="5906" max="5906" width="9.85546875" style="27" bestFit="1" customWidth="1"/>
    <col min="5907" max="5908" width="9" style="27"/>
    <col min="5909" max="5909" width="20.42578125" style="27" bestFit="1" customWidth="1"/>
    <col min="5910" max="5910" width="9.85546875" style="27" bestFit="1" customWidth="1"/>
    <col min="5911" max="6143" width="9" style="27"/>
    <col min="6144" max="6144" width="14.7109375" style="27" bestFit="1" customWidth="1"/>
    <col min="6145" max="6145" width="16" style="27" customWidth="1"/>
    <col min="6146" max="6146" width="12.85546875" style="27" bestFit="1" customWidth="1"/>
    <col min="6147" max="6148" width="10.140625" style="27" bestFit="1" customWidth="1"/>
    <col min="6149" max="6149" width="22.42578125" style="27" bestFit="1" customWidth="1"/>
    <col min="6150" max="6150" width="14" style="27" customWidth="1"/>
    <col min="6151" max="6151" width="4.85546875" style="27" bestFit="1" customWidth="1"/>
    <col min="6152" max="6152" width="9.42578125" style="27" customWidth="1"/>
    <col min="6153" max="6153" width="9" style="27"/>
    <col min="6154" max="6154" width="7.85546875" style="27" bestFit="1" customWidth="1"/>
    <col min="6155" max="6155" width="5.85546875" style="27" bestFit="1" customWidth="1"/>
    <col min="6156" max="6156" width="6.140625" style="27" bestFit="1" customWidth="1"/>
    <col min="6157" max="6157" width="4.42578125" style="27" bestFit="1" customWidth="1"/>
    <col min="6158" max="6158" width="6.85546875" style="27" bestFit="1" customWidth="1"/>
    <col min="6159" max="6159" width="4.42578125" style="27" bestFit="1" customWidth="1"/>
    <col min="6160" max="6160" width="8.42578125" style="27" bestFit="1" customWidth="1"/>
    <col min="6161" max="6161" width="1.85546875" style="27" bestFit="1" customWidth="1"/>
    <col min="6162" max="6162" width="9.85546875" style="27" bestFit="1" customWidth="1"/>
    <col min="6163" max="6164" width="9" style="27"/>
    <col min="6165" max="6165" width="20.42578125" style="27" bestFit="1" customWidth="1"/>
    <col min="6166" max="6166" width="9.85546875" style="27" bestFit="1" customWidth="1"/>
    <col min="6167" max="6399" width="9" style="27"/>
    <col min="6400" max="6400" width="14.7109375" style="27" bestFit="1" customWidth="1"/>
    <col min="6401" max="6401" width="16" style="27" customWidth="1"/>
    <col min="6402" max="6402" width="12.85546875" style="27" bestFit="1" customWidth="1"/>
    <col min="6403" max="6404" width="10.140625" style="27" bestFit="1" customWidth="1"/>
    <col min="6405" max="6405" width="22.42578125" style="27" bestFit="1" customWidth="1"/>
    <col min="6406" max="6406" width="14" style="27" customWidth="1"/>
    <col min="6407" max="6407" width="4.85546875" style="27" bestFit="1" customWidth="1"/>
    <col min="6408" max="6408" width="9.42578125" style="27" customWidth="1"/>
    <col min="6409" max="6409" width="9" style="27"/>
    <col min="6410" max="6410" width="7.85546875" style="27" bestFit="1" customWidth="1"/>
    <col min="6411" max="6411" width="5.85546875" style="27" bestFit="1" customWidth="1"/>
    <col min="6412" max="6412" width="6.140625" style="27" bestFit="1" customWidth="1"/>
    <col min="6413" max="6413" width="4.42578125" style="27" bestFit="1" customWidth="1"/>
    <col min="6414" max="6414" width="6.85546875" style="27" bestFit="1" customWidth="1"/>
    <col min="6415" max="6415" width="4.42578125" style="27" bestFit="1" customWidth="1"/>
    <col min="6416" max="6416" width="8.42578125" style="27" bestFit="1" customWidth="1"/>
    <col min="6417" max="6417" width="1.85546875" style="27" bestFit="1" customWidth="1"/>
    <col min="6418" max="6418" width="9.85546875" style="27" bestFit="1" customWidth="1"/>
    <col min="6419" max="6420" width="9" style="27"/>
    <col min="6421" max="6421" width="20.42578125" style="27" bestFit="1" customWidth="1"/>
    <col min="6422" max="6422" width="9.85546875" style="27" bestFit="1" customWidth="1"/>
    <col min="6423" max="6655" width="9" style="27"/>
    <col min="6656" max="6656" width="14.7109375" style="27" bestFit="1" customWidth="1"/>
    <col min="6657" max="6657" width="16" style="27" customWidth="1"/>
    <col min="6658" max="6658" width="12.85546875" style="27" bestFit="1" customWidth="1"/>
    <col min="6659" max="6660" width="10.140625" style="27" bestFit="1" customWidth="1"/>
    <col min="6661" max="6661" width="22.42578125" style="27" bestFit="1" customWidth="1"/>
    <col min="6662" max="6662" width="14" style="27" customWidth="1"/>
    <col min="6663" max="6663" width="4.85546875" style="27" bestFit="1" customWidth="1"/>
    <col min="6664" max="6664" width="9.42578125" style="27" customWidth="1"/>
    <col min="6665" max="6665" width="9" style="27"/>
    <col min="6666" max="6666" width="7.85546875" style="27" bestFit="1" customWidth="1"/>
    <col min="6667" max="6667" width="5.85546875" style="27" bestFit="1" customWidth="1"/>
    <col min="6668" max="6668" width="6.140625" style="27" bestFit="1" customWidth="1"/>
    <col min="6669" max="6669" width="4.42578125" style="27" bestFit="1" customWidth="1"/>
    <col min="6670" max="6670" width="6.85546875" style="27" bestFit="1" customWidth="1"/>
    <col min="6671" max="6671" width="4.42578125" style="27" bestFit="1" customWidth="1"/>
    <col min="6672" max="6672" width="8.42578125" style="27" bestFit="1" customWidth="1"/>
    <col min="6673" max="6673" width="1.85546875" style="27" bestFit="1" customWidth="1"/>
    <col min="6674" max="6674" width="9.85546875" style="27" bestFit="1" customWidth="1"/>
    <col min="6675" max="6676" width="9" style="27"/>
    <col min="6677" max="6677" width="20.42578125" style="27" bestFit="1" customWidth="1"/>
    <col min="6678" max="6678" width="9.85546875" style="27" bestFit="1" customWidth="1"/>
    <col min="6679" max="6911" width="9" style="27"/>
    <col min="6912" max="6912" width="14.7109375" style="27" bestFit="1" customWidth="1"/>
    <col min="6913" max="6913" width="16" style="27" customWidth="1"/>
    <col min="6914" max="6914" width="12.85546875" style="27" bestFit="1" customWidth="1"/>
    <col min="6915" max="6916" width="10.140625" style="27" bestFit="1" customWidth="1"/>
    <col min="6917" max="6917" width="22.42578125" style="27" bestFit="1" customWidth="1"/>
    <col min="6918" max="6918" width="14" style="27" customWidth="1"/>
    <col min="6919" max="6919" width="4.85546875" style="27" bestFit="1" customWidth="1"/>
    <col min="6920" max="6920" width="9.42578125" style="27" customWidth="1"/>
    <col min="6921" max="6921" width="9" style="27"/>
    <col min="6922" max="6922" width="7.85546875" style="27" bestFit="1" customWidth="1"/>
    <col min="6923" max="6923" width="5.85546875" style="27" bestFit="1" customWidth="1"/>
    <col min="6924" max="6924" width="6.140625" style="27" bestFit="1" customWidth="1"/>
    <col min="6925" max="6925" width="4.42578125" style="27" bestFit="1" customWidth="1"/>
    <col min="6926" max="6926" width="6.85546875" style="27" bestFit="1" customWidth="1"/>
    <col min="6927" max="6927" width="4.42578125" style="27" bestFit="1" customWidth="1"/>
    <col min="6928" max="6928" width="8.42578125" style="27" bestFit="1" customWidth="1"/>
    <col min="6929" max="6929" width="1.85546875" style="27" bestFit="1" customWidth="1"/>
    <col min="6930" max="6930" width="9.85546875" style="27" bestFit="1" customWidth="1"/>
    <col min="6931" max="6932" width="9" style="27"/>
    <col min="6933" max="6933" width="20.42578125" style="27" bestFit="1" customWidth="1"/>
    <col min="6934" max="6934" width="9.85546875" style="27" bestFit="1" customWidth="1"/>
    <col min="6935" max="7167" width="9" style="27"/>
    <col min="7168" max="7168" width="14.7109375" style="27" bestFit="1" customWidth="1"/>
    <col min="7169" max="7169" width="16" style="27" customWidth="1"/>
    <col min="7170" max="7170" width="12.85546875" style="27" bestFit="1" customWidth="1"/>
    <col min="7171" max="7172" width="10.140625" style="27" bestFit="1" customWidth="1"/>
    <col min="7173" max="7173" width="22.42578125" style="27" bestFit="1" customWidth="1"/>
    <col min="7174" max="7174" width="14" style="27" customWidth="1"/>
    <col min="7175" max="7175" width="4.85546875" style="27" bestFit="1" customWidth="1"/>
    <col min="7176" max="7176" width="9.42578125" style="27" customWidth="1"/>
    <col min="7177" max="7177" width="9" style="27"/>
    <col min="7178" max="7178" width="7.85546875" style="27" bestFit="1" customWidth="1"/>
    <col min="7179" max="7179" width="5.85546875" style="27" bestFit="1" customWidth="1"/>
    <col min="7180" max="7180" width="6.140625" style="27" bestFit="1" customWidth="1"/>
    <col min="7181" max="7181" width="4.42578125" style="27" bestFit="1" customWidth="1"/>
    <col min="7182" max="7182" width="6.85546875" style="27" bestFit="1" customWidth="1"/>
    <col min="7183" max="7183" width="4.42578125" style="27" bestFit="1" customWidth="1"/>
    <col min="7184" max="7184" width="8.42578125" style="27" bestFit="1" customWidth="1"/>
    <col min="7185" max="7185" width="1.85546875" style="27" bestFit="1" customWidth="1"/>
    <col min="7186" max="7186" width="9.85546875" style="27" bestFit="1" customWidth="1"/>
    <col min="7187" max="7188" width="9" style="27"/>
    <col min="7189" max="7189" width="20.42578125" style="27" bestFit="1" customWidth="1"/>
    <col min="7190" max="7190" width="9.85546875" style="27" bestFit="1" customWidth="1"/>
    <col min="7191" max="7423" width="9" style="27"/>
    <col min="7424" max="7424" width="14.7109375" style="27" bestFit="1" customWidth="1"/>
    <col min="7425" max="7425" width="16" style="27" customWidth="1"/>
    <col min="7426" max="7426" width="12.85546875" style="27" bestFit="1" customWidth="1"/>
    <col min="7427" max="7428" width="10.140625" style="27" bestFit="1" customWidth="1"/>
    <col min="7429" max="7429" width="22.42578125" style="27" bestFit="1" customWidth="1"/>
    <col min="7430" max="7430" width="14" style="27" customWidth="1"/>
    <col min="7431" max="7431" width="4.85546875" style="27" bestFit="1" customWidth="1"/>
    <col min="7432" max="7432" width="9.42578125" style="27" customWidth="1"/>
    <col min="7433" max="7433" width="9" style="27"/>
    <col min="7434" max="7434" width="7.85546875" style="27" bestFit="1" customWidth="1"/>
    <col min="7435" max="7435" width="5.85546875" style="27" bestFit="1" customWidth="1"/>
    <col min="7436" max="7436" width="6.140625" style="27" bestFit="1" customWidth="1"/>
    <col min="7437" max="7437" width="4.42578125" style="27" bestFit="1" customWidth="1"/>
    <col min="7438" max="7438" width="6.85546875" style="27" bestFit="1" customWidth="1"/>
    <col min="7439" max="7439" width="4.42578125" style="27" bestFit="1" customWidth="1"/>
    <col min="7440" max="7440" width="8.42578125" style="27" bestFit="1" customWidth="1"/>
    <col min="7441" max="7441" width="1.85546875" style="27" bestFit="1" customWidth="1"/>
    <col min="7442" max="7442" width="9.85546875" style="27" bestFit="1" customWidth="1"/>
    <col min="7443" max="7444" width="9" style="27"/>
    <col min="7445" max="7445" width="20.42578125" style="27" bestFit="1" customWidth="1"/>
    <col min="7446" max="7446" width="9.85546875" style="27" bestFit="1" customWidth="1"/>
    <col min="7447" max="7679" width="9" style="27"/>
    <col min="7680" max="7680" width="14.7109375" style="27" bestFit="1" customWidth="1"/>
    <col min="7681" max="7681" width="16" style="27" customWidth="1"/>
    <col min="7682" max="7682" width="12.85546875" style="27" bestFit="1" customWidth="1"/>
    <col min="7683" max="7684" width="10.140625" style="27" bestFit="1" customWidth="1"/>
    <col min="7685" max="7685" width="22.42578125" style="27" bestFit="1" customWidth="1"/>
    <col min="7686" max="7686" width="14" style="27" customWidth="1"/>
    <col min="7687" max="7687" width="4.85546875" style="27" bestFit="1" customWidth="1"/>
    <col min="7688" max="7688" width="9.42578125" style="27" customWidth="1"/>
    <col min="7689" max="7689" width="9" style="27"/>
    <col min="7690" max="7690" width="7.85546875" style="27" bestFit="1" customWidth="1"/>
    <col min="7691" max="7691" width="5.85546875" style="27" bestFit="1" customWidth="1"/>
    <col min="7692" max="7692" width="6.140625" style="27" bestFit="1" customWidth="1"/>
    <col min="7693" max="7693" width="4.42578125" style="27" bestFit="1" customWidth="1"/>
    <col min="7694" max="7694" width="6.85546875" style="27" bestFit="1" customWidth="1"/>
    <col min="7695" max="7695" width="4.42578125" style="27" bestFit="1" customWidth="1"/>
    <col min="7696" max="7696" width="8.42578125" style="27" bestFit="1" customWidth="1"/>
    <col min="7697" max="7697" width="1.85546875" style="27" bestFit="1" customWidth="1"/>
    <col min="7698" max="7698" width="9.85546875" style="27" bestFit="1" customWidth="1"/>
    <col min="7699" max="7700" width="9" style="27"/>
    <col min="7701" max="7701" width="20.42578125" style="27" bestFit="1" customWidth="1"/>
    <col min="7702" max="7702" width="9.85546875" style="27" bestFit="1" customWidth="1"/>
    <col min="7703" max="7935" width="9" style="27"/>
    <col min="7936" max="7936" width="14.7109375" style="27" bestFit="1" customWidth="1"/>
    <col min="7937" max="7937" width="16" style="27" customWidth="1"/>
    <col min="7938" max="7938" width="12.85546875" style="27" bestFit="1" customWidth="1"/>
    <col min="7939" max="7940" width="10.140625" style="27" bestFit="1" customWidth="1"/>
    <col min="7941" max="7941" width="22.42578125" style="27" bestFit="1" customWidth="1"/>
    <col min="7942" max="7942" width="14" style="27" customWidth="1"/>
    <col min="7943" max="7943" width="4.85546875" style="27" bestFit="1" customWidth="1"/>
    <col min="7944" max="7944" width="9.42578125" style="27" customWidth="1"/>
    <col min="7945" max="7945" width="9" style="27"/>
    <col min="7946" max="7946" width="7.85546875" style="27" bestFit="1" customWidth="1"/>
    <col min="7947" max="7947" width="5.85546875" style="27" bestFit="1" customWidth="1"/>
    <col min="7948" max="7948" width="6.140625" style="27" bestFit="1" customWidth="1"/>
    <col min="7949" max="7949" width="4.42578125" style="27" bestFit="1" customWidth="1"/>
    <col min="7950" max="7950" width="6.85546875" style="27" bestFit="1" customWidth="1"/>
    <col min="7951" max="7951" width="4.42578125" style="27" bestFit="1" customWidth="1"/>
    <col min="7952" max="7952" width="8.42578125" style="27" bestFit="1" customWidth="1"/>
    <col min="7953" max="7953" width="1.85546875" style="27" bestFit="1" customWidth="1"/>
    <col min="7954" max="7954" width="9.85546875" style="27" bestFit="1" customWidth="1"/>
    <col min="7955" max="7956" width="9" style="27"/>
    <col min="7957" max="7957" width="20.42578125" style="27" bestFit="1" customWidth="1"/>
    <col min="7958" max="7958" width="9.85546875" style="27" bestFit="1" customWidth="1"/>
    <col min="7959" max="8191" width="9" style="27"/>
    <col min="8192" max="8192" width="14.7109375" style="27" bestFit="1" customWidth="1"/>
    <col min="8193" max="8193" width="16" style="27" customWidth="1"/>
    <col min="8194" max="8194" width="12.85546875" style="27" bestFit="1" customWidth="1"/>
    <col min="8195" max="8196" width="10.140625" style="27" bestFit="1" customWidth="1"/>
    <col min="8197" max="8197" width="22.42578125" style="27" bestFit="1" customWidth="1"/>
    <col min="8198" max="8198" width="14" style="27" customWidth="1"/>
    <col min="8199" max="8199" width="4.85546875" style="27" bestFit="1" customWidth="1"/>
    <col min="8200" max="8200" width="9.42578125" style="27" customWidth="1"/>
    <col min="8201" max="8201" width="9" style="27"/>
    <col min="8202" max="8202" width="7.85546875" style="27" bestFit="1" customWidth="1"/>
    <col min="8203" max="8203" width="5.85546875" style="27" bestFit="1" customWidth="1"/>
    <col min="8204" max="8204" width="6.140625" style="27" bestFit="1" customWidth="1"/>
    <col min="8205" max="8205" width="4.42578125" style="27" bestFit="1" customWidth="1"/>
    <col min="8206" max="8206" width="6.85546875" style="27" bestFit="1" customWidth="1"/>
    <col min="8207" max="8207" width="4.42578125" style="27" bestFit="1" customWidth="1"/>
    <col min="8208" max="8208" width="8.42578125" style="27" bestFit="1" customWidth="1"/>
    <col min="8209" max="8209" width="1.85546875" style="27" bestFit="1" customWidth="1"/>
    <col min="8210" max="8210" width="9.85546875" style="27" bestFit="1" customWidth="1"/>
    <col min="8211" max="8212" width="9" style="27"/>
    <col min="8213" max="8213" width="20.42578125" style="27" bestFit="1" customWidth="1"/>
    <col min="8214" max="8214" width="9.85546875" style="27" bestFit="1" customWidth="1"/>
    <col min="8215" max="8447" width="9" style="27"/>
    <col min="8448" max="8448" width="14.7109375" style="27" bestFit="1" customWidth="1"/>
    <col min="8449" max="8449" width="16" style="27" customWidth="1"/>
    <col min="8450" max="8450" width="12.85546875" style="27" bestFit="1" customWidth="1"/>
    <col min="8451" max="8452" width="10.140625" style="27" bestFit="1" customWidth="1"/>
    <col min="8453" max="8453" width="22.42578125" style="27" bestFit="1" customWidth="1"/>
    <col min="8454" max="8454" width="14" style="27" customWidth="1"/>
    <col min="8455" max="8455" width="4.85546875" style="27" bestFit="1" customWidth="1"/>
    <col min="8456" max="8456" width="9.42578125" style="27" customWidth="1"/>
    <col min="8457" max="8457" width="9" style="27"/>
    <col min="8458" max="8458" width="7.85546875" style="27" bestFit="1" customWidth="1"/>
    <col min="8459" max="8459" width="5.85546875" style="27" bestFit="1" customWidth="1"/>
    <col min="8460" max="8460" width="6.140625" style="27" bestFit="1" customWidth="1"/>
    <col min="8461" max="8461" width="4.42578125" style="27" bestFit="1" customWidth="1"/>
    <col min="8462" max="8462" width="6.85546875" style="27" bestFit="1" customWidth="1"/>
    <col min="8463" max="8463" width="4.42578125" style="27" bestFit="1" customWidth="1"/>
    <col min="8464" max="8464" width="8.42578125" style="27" bestFit="1" customWidth="1"/>
    <col min="8465" max="8465" width="1.85546875" style="27" bestFit="1" customWidth="1"/>
    <col min="8466" max="8466" width="9.85546875" style="27" bestFit="1" customWidth="1"/>
    <col min="8467" max="8468" width="9" style="27"/>
    <col min="8469" max="8469" width="20.42578125" style="27" bestFit="1" customWidth="1"/>
    <col min="8470" max="8470" width="9.85546875" style="27" bestFit="1" customWidth="1"/>
    <col min="8471" max="8703" width="9" style="27"/>
    <col min="8704" max="8704" width="14.7109375" style="27" bestFit="1" customWidth="1"/>
    <col min="8705" max="8705" width="16" style="27" customWidth="1"/>
    <col min="8706" max="8706" width="12.85546875" style="27" bestFit="1" customWidth="1"/>
    <col min="8707" max="8708" width="10.140625" style="27" bestFit="1" customWidth="1"/>
    <col min="8709" max="8709" width="22.42578125" style="27" bestFit="1" customWidth="1"/>
    <col min="8710" max="8710" width="14" style="27" customWidth="1"/>
    <col min="8711" max="8711" width="4.85546875" style="27" bestFit="1" customWidth="1"/>
    <col min="8712" max="8712" width="9.42578125" style="27" customWidth="1"/>
    <col min="8713" max="8713" width="9" style="27"/>
    <col min="8714" max="8714" width="7.85546875" style="27" bestFit="1" customWidth="1"/>
    <col min="8715" max="8715" width="5.85546875" style="27" bestFit="1" customWidth="1"/>
    <col min="8716" max="8716" width="6.140625" style="27" bestFit="1" customWidth="1"/>
    <col min="8717" max="8717" width="4.42578125" style="27" bestFit="1" customWidth="1"/>
    <col min="8718" max="8718" width="6.85546875" style="27" bestFit="1" customWidth="1"/>
    <col min="8719" max="8719" width="4.42578125" style="27" bestFit="1" customWidth="1"/>
    <col min="8720" max="8720" width="8.42578125" style="27" bestFit="1" customWidth="1"/>
    <col min="8721" max="8721" width="1.85546875" style="27" bestFit="1" customWidth="1"/>
    <col min="8722" max="8722" width="9.85546875" style="27" bestFit="1" customWidth="1"/>
    <col min="8723" max="8724" width="9" style="27"/>
    <col min="8725" max="8725" width="20.42578125" style="27" bestFit="1" customWidth="1"/>
    <col min="8726" max="8726" width="9.85546875" style="27" bestFit="1" customWidth="1"/>
    <col min="8727" max="8959" width="9" style="27"/>
    <col min="8960" max="8960" width="14.7109375" style="27" bestFit="1" customWidth="1"/>
    <col min="8961" max="8961" width="16" style="27" customWidth="1"/>
    <col min="8962" max="8962" width="12.85546875" style="27" bestFit="1" customWidth="1"/>
    <col min="8963" max="8964" width="10.140625" style="27" bestFit="1" customWidth="1"/>
    <col min="8965" max="8965" width="22.42578125" style="27" bestFit="1" customWidth="1"/>
    <col min="8966" max="8966" width="14" style="27" customWidth="1"/>
    <col min="8967" max="8967" width="4.85546875" style="27" bestFit="1" customWidth="1"/>
    <col min="8968" max="8968" width="9.42578125" style="27" customWidth="1"/>
    <col min="8969" max="8969" width="9" style="27"/>
    <col min="8970" max="8970" width="7.85546875" style="27" bestFit="1" customWidth="1"/>
    <col min="8971" max="8971" width="5.85546875" style="27" bestFit="1" customWidth="1"/>
    <col min="8972" max="8972" width="6.140625" style="27" bestFit="1" customWidth="1"/>
    <col min="8973" max="8973" width="4.42578125" style="27" bestFit="1" customWidth="1"/>
    <col min="8974" max="8974" width="6.85546875" style="27" bestFit="1" customWidth="1"/>
    <col min="8975" max="8975" width="4.42578125" style="27" bestFit="1" customWidth="1"/>
    <col min="8976" max="8976" width="8.42578125" style="27" bestFit="1" customWidth="1"/>
    <col min="8977" max="8977" width="1.85546875" style="27" bestFit="1" customWidth="1"/>
    <col min="8978" max="8978" width="9.85546875" style="27" bestFit="1" customWidth="1"/>
    <col min="8979" max="8980" width="9" style="27"/>
    <col min="8981" max="8981" width="20.42578125" style="27" bestFit="1" customWidth="1"/>
    <col min="8982" max="8982" width="9.85546875" style="27" bestFit="1" customWidth="1"/>
    <col min="8983" max="9215" width="9" style="27"/>
    <col min="9216" max="9216" width="14.7109375" style="27" bestFit="1" customWidth="1"/>
    <col min="9217" max="9217" width="16" style="27" customWidth="1"/>
    <col min="9218" max="9218" width="12.85546875" style="27" bestFit="1" customWidth="1"/>
    <col min="9219" max="9220" width="10.140625" style="27" bestFit="1" customWidth="1"/>
    <col min="9221" max="9221" width="22.42578125" style="27" bestFit="1" customWidth="1"/>
    <col min="9222" max="9222" width="14" style="27" customWidth="1"/>
    <col min="9223" max="9223" width="4.85546875" style="27" bestFit="1" customWidth="1"/>
    <col min="9224" max="9224" width="9.42578125" style="27" customWidth="1"/>
    <col min="9225" max="9225" width="9" style="27"/>
    <col min="9226" max="9226" width="7.85546875" style="27" bestFit="1" customWidth="1"/>
    <col min="9227" max="9227" width="5.85546875" style="27" bestFit="1" customWidth="1"/>
    <col min="9228" max="9228" width="6.140625" style="27" bestFit="1" customWidth="1"/>
    <col min="9229" max="9229" width="4.42578125" style="27" bestFit="1" customWidth="1"/>
    <col min="9230" max="9230" width="6.85546875" style="27" bestFit="1" customWidth="1"/>
    <col min="9231" max="9231" width="4.42578125" style="27" bestFit="1" customWidth="1"/>
    <col min="9232" max="9232" width="8.42578125" style="27" bestFit="1" customWidth="1"/>
    <col min="9233" max="9233" width="1.85546875" style="27" bestFit="1" customWidth="1"/>
    <col min="9234" max="9234" width="9.85546875" style="27" bestFit="1" customWidth="1"/>
    <col min="9235" max="9236" width="9" style="27"/>
    <col min="9237" max="9237" width="20.42578125" style="27" bestFit="1" customWidth="1"/>
    <col min="9238" max="9238" width="9.85546875" style="27" bestFit="1" customWidth="1"/>
    <col min="9239" max="9471" width="9" style="27"/>
    <col min="9472" max="9472" width="14.7109375" style="27" bestFit="1" customWidth="1"/>
    <col min="9473" max="9473" width="16" style="27" customWidth="1"/>
    <col min="9474" max="9474" width="12.85546875" style="27" bestFit="1" customWidth="1"/>
    <col min="9475" max="9476" width="10.140625" style="27" bestFit="1" customWidth="1"/>
    <col min="9477" max="9477" width="22.42578125" style="27" bestFit="1" customWidth="1"/>
    <col min="9478" max="9478" width="14" style="27" customWidth="1"/>
    <col min="9479" max="9479" width="4.85546875" style="27" bestFit="1" customWidth="1"/>
    <col min="9480" max="9480" width="9.42578125" style="27" customWidth="1"/>
    <col min="9481" max="9481" width="9" style="27"/>
    <col min="9482" max="9482" width="7.85546875" style="27" bestFit="1" customWidth="1"/>
    <col min="9483" max="9483" width="5.85546875" style="27" bestFit="1" customWidth="1"/>
    <col min="9484" max="9484" width="6.140625" style="27" bestFit="1" customWidth="1"/>
    <col min="9485" max="9485" width="4.42578125" style="27" bestFit="1" customWidth="1"/>
    <col min="9486" max="9486" width="6.85546875" style="27" bestFit="1" customWidth="1"/>
    <col min="9487" max="9487" width="4.42578125" style="27" bestFit="1" customWidth="1"/>
    <col min="9488" max="9488" width="8.42578125" style="27" bestFit="1" customWidth="1"/>
    <col min="9489" max="9489" width="1.85546875" style="27" bestFit="1" customWidth="1"/>
    <col min="9490" max="9490" width="9.85546875" style="27" bestFit="1" customWidth="1"/>
    <col min="9491" max="9492" width="9" style="27"/>
    <col min="9493" max="9493" width="20.42578125" style="27" bestFit="1" customWidth="1"/>
    <col min="9494" max="9494" width="9.85546875" style="27" bestFit="1" customWidth="1"/>
    <col min="9495" max="9727" width="9" style="27"/>
    <col min="9728" max="9728" width="14.7109375" style="27" bestFit="1" customWidth="1"/>
    <col min="9729" max="9729" width="16" style="27" customWidth="1"/>
    <col min="9730" max="9730" width="12.85546875" style="27" bestFit="1" customWidth="1"/>
    <col min="9731" max="9732" width="10.140625" style="27" bestFit="1" customWidth="1"/>
    <col min="9733" max="9733" width="22.42578125" style="27" bestFit="1" customWidth="1"/>
    <col min="9734" max="9734" width="14" style="27" customWidth="1"/>
    <col min="9735" max="9735" width="4.85546875" style="27" bestFit="1" customWidth="1"/>
    <col min="9736" max="9736" width="9.42578125" style="27" customWidth="1"/>
    <col min="9737" max="9737" width="9" style="27"/>
    <col min="9738" max="9738" width="7.85546875" style="27" bestFit="1" customWidth="1"/>
    <col min="9739" max="9739" width="5.85546875" style="27" bestFit="1" customWidth="1"/>
    <col min="9740" max="9740" width="6.140625" style="27" bestFit="1" customWidth="1"/>
    <col min="9741" max="9741" width="4.42578125" style="27" bestFit="1" customWidth="1"/>
    <col min="9742" max="9742" width="6.85546875" style="27" bestFit="1" customWidth="1"/>
    <col min="9743" max="9743" width="4.42578125" style="27" bestFit="1" customWidth="1"/>
    <col min="9744" max="9744" width="8.42578125" style="27" bestFit="1" customWidth="1"/>
    <col min="9745" max="9745" width="1.85546875" style="27" bestFit="1" customWidth="1"/>
    <col min="9746" max="9746" width="9.85546875" style="27" bestFit="1" customWidth="1"/>
    <col min="9747" max="9748" width="9" style="27"/>
    <col min="9749" max="9749" width="20.42578125" style="27" bestFit="1" customWidth="1"/>
    <col min="9750" max="9750" width="9.85546875" style="27" bestFit="1" customWidth="1"/>
    <col min="9751" max="9983" width="9" style="27"/>
    <col min="9984" max="9984" width="14.7109375" style="27" bestFit="1" customWidth="1"/>
    <col min="9985" max="9985" width="16" style="27" customWidth="1"/>
    <col min="9986" max="9986" width="12.85546875" style="27" bestFit="1" customWidth="1"/>
    <col min="9987" max="9988" width="10.140625" style="27" bestFit="1" customWidth="1"/>
    <col min="9989" max="9989" width="22.42578125" style="27" bestFit="1" customWidth="1"/>
    <col min="9990" max="9990" width="14" style="27" customWidth="1"/>
    <col min="9991" max="9991" width="4.85546875" style="27" bestFit="1" customWidth="1"/>
    <col min="9992" max="9992" width="9.42578125" style="27" customWidth="1"/>
    <col min="9993" max="9993" width="9" style="27"/>
    <col min="9994" max="9994" width="7.85546875" style="27" bestFit="1" customWidth="1"/>
    <col min="9995" max="9995" width="5.85546875" style="27" bestFit="1" customWidth="1"/>
    <col min="9996" max="9996" width="6.140625" style="27" bestFit="1" customWidth="1"/>
    <col min="9997" max="9997" width="4.42578125" style="27" bestFit="1" customWidth="1"/>
    <col min="9998" max="9998" width="6.85546875" style="27" bestFit="1" customWidth="1"/>
    <col min="9999" max="9999" width="4.42578125" style="27" bestFit="1" customWidth="1"/>
    <col min="10000" max="10000" width="8.42578125" style="27" bestFit="1" customWidth="1"/>
    <col min="10001" max="10001" width="1.85546875" style="27" bestFit="1" customWidth="1"/>
    <col min="10002" max="10002" width="9.85546875" style="27" bestFit="1" customWidth="1"/>
    <col min="10003" max="10004" width="9" style="27"/>
    <col min="10005" max="10005" width="20.42578125" style="27" bestFit="1" customWidth="1"/>
    <col min="10006" max="10006" width="9.85546875" style="27" bestFit="1" customWidth="1"/>
    <col min="10007" max="10239" width="9" style="27"/>
    <col min="10240" max="10240" width="14.7109375" style="27" bestFit="1" customWidth="1"/>
    <col min="10241" max="10241" width="16" style="27" customWidth="1"/>
    <col min="10242" max="10242" width="12.85546875" style="27" bestFit="1" customWidth="1"/>
    <col min="10243" max="10244" width="10.140625" style="27" bestFit="1" customWidth="1"/>
    <col min="10245" max="10245" width="22.42578125" style="27" bestFit="1" customWidth="1"/>
    <col min="10246" max="10246" width="14" style="27" customWidth="1"/>
    <col min="10247" max="10247" width="4.85546875" style="27" bestFit="1" customWidth="1"/>
    <col min="10248" max="10248" width="9.42578125" style="27" customWidth="1"/>
    <col min="10249" max="10249" width="9" style="27"/>
    <col min="10250" max="10250" width="7.85546875" style="27" bestFit="1" customWidth="1"/>
    <col min="10251" max="10251" width="5.85546875" style="27" bestFit="1" customWidth="1"/>
    <col min="10252" max="10252" width="6.140625" style="27" bestFit="1" customWidth="1"/>
    <col min="10253" max="10253" width="4.42578125" style="27" bestFit="1" customWidth="1"/>
    <col min="10254" max="10254" width="6.85546875" style="27" bestFit="1" customWidth="1"/>
    <col min="10255" max="10255" width="4.42578125" style="27" bestFit="1" customWidth="1"/>
    <col min="10256" max="10256" width="8.42578125" style="27" bestFit="1" customWidth="1"/>
    <col min="10257" max="10257" width="1.85546875" style="27" bestFit="1" customWidth="1"/>
    <col min="10258" max="10258" width="9.85546875" style="27" bestFit="1" customWidth="1"/>
    <col min="10259" max="10260" width="9" style="27"/>
    <col min="10261" max="10261" width="20.42578125" style="27" bestFit="1" customWidth="1"/>
    <col min="10262" max="10262" width="9.85546875" style="27" bestFit="1" customWidth="1"/>
    <col min="10263" max="10495" width="9" style="27"/>
    <col min="10496" max="10496" width="14.7109375" style="27" bestFit="1" customWidth="1"/>
    <col min="10497" max="10497" width="16" style="27" customWidth="1"/>
    <col min="10498" max="10498" width="12.85546875" style="27" bestFit="1" customWidth="1"/>
    <col min="10499" max="10500" width="10.140625" style="27" bestFit="1" customWidth="1"/>
    <col min="10501" max="10501" width="22.42578125" style="27" bestFit="1" customWidth="1"/>
    <col min="10502" max="10502" width="14" style="27" customWidth="1"/>
    <col min="10503" max="10503" width="4.85546875" style="27" bestFit="1" customWidth="1"/>
    <col min="10504" max="10504" width="9.42578125" style="27" customWidth="1"/>
    <col min="10505" max="10505" width="9" style="27"/>
    <col min="10506" max="10506" width="7.85546875" style="27" bestFit="1" customWidth="1"/>
    <col min="10507" max="10507" width="5.85546875" style="27" bestFit="1" customWidth="1"/>
    <col min="10508" max="10508" width="6.140625" style="27" bestFit="1" customWidth="1"/>
    <col min="10509" max="10509" width="4.42578125" style="27" bestFit="1" customWidth="1"/>
    <col min="10510" max="10510" width="6.85546875" style="27" bestFit="1" customWidth="1"/>
    <col min="10511" max="10511" width="4.42578125" style="27" bestFit="1" customWidth="1"/>
    <col min="10512" max="10512" width="8.42578125" style="27" bestFit="1" customWidth="1"/>
    <col min="10513" max="10513" width="1.85546875" style="27" bestFit="1" customWidth="1"/>
    <col min="10514" max="10514" width="9.85546875" style="27" bestFit="1" customWidth="1"/>
    <col min="10515" max="10516" width="9" style="27"/>
    <col min="10517" max="10517" width="20.42578125" style="27" bestFit="1" customWidth="1"/>
    <col min="10518" max="10518" width="9.85546875" style="27" bestFit="1" customWidth="1"/>
    <col min="10519" max="10751" width="9" style="27"/>
    <col min="10752" max="10752" width="14.7109375" style="27" bestFit="1" customWidth="1"/>
    <col min="10753" max="10753" width="16" style="27" customWidth="1"/>
    <col min="10754" max="10754" width="12.85546875" style="27" bestFit="1" customWidth="1"/>
    <col min="10755" max="10756" width="10.140625" style="27" bestFit="1" customWidth="1"/>
    <col min="10757" max="10757" width="22.42578125" style="27" bestFit="1" customWidth="1"/>
    <col min="10758" max="10758" width="14" style="27" customWidth="1"/>
    <col min="10759" max="10759" width="4.85546875" style="27" bestFit="1" customWidth="1"/>
    <col min="10760" max="10760" width="9.42578125" style="27" customWidth="1"/>
    <col min="10761" max="10761" width="9" style="27"/>
    <col min="10762" max="10762" width="7.85546875" style="27" bestFit="1" customWidth="1"/>
    <col min="10763" max="10763" width="5.85546875" style="27" bestFit="1" customWidth="1"/>
    <col min="10764" max="10764" width="6.140625" style="27" bestFit="1" customWidth="1"/>
    <col min="10765" max="10765" width="4.42578125" style="27" bestFit="1" customWidth="1"/>
    <col min="10766" max="10766" width="6.85546875" style="27" bestFit="1" customWidth="1"/>
    <col min="10767" max="10767" width="4.42578125" style="27" bestFit="1" customWidth="1"/>
    <col min="10768" max="10768" width="8.42578125" style="27" bestFit="1" customWidth="1"/>
    <col min="10769" max="10769" width="1.85546875" style="27" bestFit="1" customWidth="1"/>
    <col min="10770" max="10770" width="9.85546875" style="27" bestFit="1" customWidth="1"/>
    <col min="10771" max="10772" width="9" style="27"/>
    <col min="10773" max="10773" width="20.42578125" style="27" bestFit="1" customWidth="1"/>
    <col min="10774" max="10774" width="9.85546875" style="27" bestFit="1" customWidth="1"/>
    <col min="10775" max="11007" width="9" style="27"/>
    <col min="11008" max="11008" width="14.7109375" style="27" bestFit="1" customWidth="1"/>
    <col min="11009" max="11009" width="16" style="27" customWidth="1"/>
    <col min="11010" max="11010" width="12.85546875" style="27" bestFit="1" customWidth="1"/>
    <col min="11011" max="11012" width="10.140625" style="27" bestFit="1" customWidth="1"/>
    <col min="11013" max="11013" width="22.42578125" style="27" bestFit="1" customWidth="1"/>
    <col min="11014" max="11014" width="14" style="27" customWidth="1"/>
    <col min="11015" max="11015" width="4.85546875" style="27" bestFit="1" customWidth="1"/>
    <col min="11016" max="11016" width="9.42578125" style="27" customWidth="1"/>
    <col min="11017" max="11017" width="9" style="27"/>
    <col min="11018" max="11018" width="7.85546875" style="27" bestFit="1" customWidth="1"/>
    <col min="11019" max="11019" width="5.85546875" style="27" bestFit="1" customWidth="1"/>
    <col min="11020" max="11020" width="6.140625" style="27" bestFit="1" customWidth="1"/>
    <col min="11021" max="11021" width="4.42578125" style="27" bestFit="1" customWidth="1"/>
    <col min="11022" max="11022" width="6.85546875" style="27" bestFit="1" customWidth="1"/>
    <col min="11023" max="11023" width="4.42578125" style="27" bestFit="1" customWidth="1"/>
    <col min="11024" max="11024" width="8.42578125" style="27" bestFit="1" customWidth="1"/>
    <col min="11025" max="11025" width="1.85546875" style="27" bestFit="1" customWidth="1"/>
    <col min="11026" max="11026" width="9.85546875" style="27" bestFit="1" customWidth="1"/>
    <col min="11027" max="11028" width="9" style="27"/>
    <col min="11029" max="11029" width="20.42578125" style="27" bestFit="1" customWidth="1"/>
    <col min="11030" max="11030" width="9.85546875" style="27" bestFit="1" customWidth="1"/>
    <col min="11031" max="11263" width="9" style="27"/>
    <col min="11264" max="11264" width="14.7109375" style="27" bestFit="1" customWidth="1"/>
    <col min="11265" max="11265" width="16" style="27" customWidth="1"/>
    <col min="11266" max="11266" width="12.85546875" style="27" bestFit="1" customWidth="1"/>
    <col min="11267" max="11268" width="10.140625" style="27" bestFit="1" customWidth="1"/>
    <col min="11269" max="11269" width="22.42578125" style="27" bestFit="1" customWidth="1"/>
    <col min="11270" max="11270" width="14" style="27" customWidth="1"/>
    <col min="11271" max="11271" width="4.85546875" style="27" bestFit="1" customWidth="1"/>
    <col min="11272" max="11272" width="9.42578125" style="27" customWidth="1"/>
    <col min="11273" max="11273" width="9" style="27"/>
    <col min="11274" max="11274" width="7.85546875" style="27" bestFit="1" customWidth="1"/>
    <col min="11275" max="11275" width="5.85546875" style="27" bestFit="1" customWidth="1"/>
    <col min="11276" max="11276" width="6.140625" style="27" bestFit="1" customWidth="1"/>
    <col min="11277" max="11277" width="4.42578125" style="27" bestFit="1" customWidth="1"/>
    <col min="11278" max="11278" width="6.85546875" style="27" bestFit="1" customWidth="1"/>
    <col min="11279" max="11279" width="4.42578125" style="27" bestFit="1" customWidth="1"/>
    <col min="11280" max="11280" width="8.42578125" style="27" bestFit="1" customWidth="1"/>
    <col min="11281" max="11281" width="1.85546875" style="27" bestFit="1" customWidth="1"/>
    <col min="11282" max="11282" width="9.85546875" style="27" bestFit="1" customWidth="1"/>
    <col min="11283" max="11284" width="9" style="27"/>
    <col min="11285" max="11285" width="20.42578125" style="27" bestFit="1" customWidth="1"/>
    <col min="11286" max="11286" width="9.85546875" style="27" bestFit="1" customWidth="1"/>
    <col min="11287" max="11519" width="9" style="27"/>
    <col min="11520" max="11520" width="14.7109375" style="27" bestFit="1" customWidth="1"/>
    <col min="11521" max="11521" width="16" style="27" customWidth="1"/>
    <col min="11522" max="11522" width="12.85546875" style="27" bestFit="1" customWidth="1"/>
    <col min="11523" max="11524" width="10.140625" style="27" bestFit="1" customWidth="1"/>
    <col min="11525" max="11525" width="22.42578125" style="27" bestFit="1" customWidth="1"/>
    <col min="11526" max="11526" width="14" style="27" customWidth="1"/>
    <col min="11527" max="11527" width="4.85546875" style="27" bestFit="1" customWidth="1"/>
    <col min="11528" max="11528" width="9.42578125" style="27" customWidth="1"/>
    <col min="11529" max="11529" width="9" style="27"/>
    <col min="11530" max="11530" width="7.85546875" style="27" bestFit="1" customWidth="1"/>
    <col min="11531" max="11531" width="5.85546875" style="27" bestFit="1" customWidth="1"/>
    <col min="11532" max="11532" width="6.140625" style="27" bestFit="1" customWidth="1"/>
    <col min="11533" max="11533" width="4.42578125" style="27" bestFit="1" customWidth="1"/>
    <col min="11534" max="11534" width="6.85546875" style="27" bestFit="1" customWidth="1"/>
    <col min="11535" max="11535" width="4.42578125" style="27" bestFit="1" customWidth="1"/>
    <col min="11536" max="11536" width="8.42578125" style="27" bestFit="1" customWidth="1"/>
    <col min="11537" max="11537" width="1.85546875" style="27" bestFit="1" customWidth="1"/>
    <col min="11538" max="11538" width="9.85546875" style="27" bestFit="1" customWidth="1"/>
    <col min="11539" max="11540" width="9" style="27"/>
    <col min="11541" max="11541" width="20.42578125" style="27" bestFit="1" customWidth="1"/>
    <col min="11542" max="11542" width="9.85546875" style="27" bestFit="1" customWidth="1"/>
    <col min="11543" max="11775" width="9" style="27"/>
    <col min="11776" max="11776" width="14.7109375" style="27" bestFit="1" customWidth="1"/>
    <col min="11777" max="11777" width="16" style="27" customWidth="1"/>
    <col min="11778" max="11778" width="12.85546875" style="27" bestFit="1" customWidth="1"/>
    <col min="11779" max="11780" width="10.140625" style="27" bestFit="1" customWidth="1"/>
    <col min="11781" max="11781" width="22.42578125" style="27" bestFit="1" customWidth="1"/>
    <col min="11782" max="11782" width="14" style="27" customWidth="1"/>
    <col min="11783" max="11783" width="4.85546875" style="27" bestFit="1" customWidth="1"/>
    <col min="11784" max="11784" width="9.42578125" style="27" customWidth="1"/>
    <col min="11785" max="11785" width="9" style="27"/>
    <col min="11786" max="11786" width="7.85546875" style="27" bestFit="1" customWidth="1"/>
    <col min="11787" max="11787" width="5.85546875" style="27" bestFit="1" customWidth="1"/>
    <col min="11788" max="11788" width="6.140625" style="27" bestFit="1" customWidth="1"/>
    <col min="11789" max="11789" width="4.42578125" style="27" bestFit="1" customWidth="1"/>
    <col min="11790" max="11790" width="6.85546875" style="27" bestFit="1" customWidth="1"/>
    <col min="11791" max="11791" width="4.42578125" style="27" bestFit="1" customWidth="1"/>
    <col min="11792" max="11792" width="8.42578125" style="27" bestFit="1" customWidth="1"/>
    <col min="11793" max="11793" width="1.85546875" style="27" bestFit="1" customWidth="1"/>
    <col min="11794" max="11794" width="9.85546875" style="27" bestFit="1" customWidth="1"/>
    <col min="11795" max="11796" width="9" style="27"/>
    <col min="11797" max="11797" width="20.42578125" style="27" bestFit="1" customWidth="1"/>
    <col min="11798" max="11798" width="9.85546875" style="27" bestFit="1" customWidth="1"/>
    <col min="11799" max="12031" width="9" style="27"/>
    <col min="12032" max="12032" width="14.7109375" style="27" bestFit="1" customWidth="1"/>
    <col min="12033" max="12033" width="16" style="27" customWidth="1"/>
    <col min="12034" max="12034" width="12.85546875" style="27" bestFit="1" customWidth="1"/>
    <col min="12035" max="12036" width="10.140625" style="27" bestFit="1" customWidth="1"/>
    <col min="12037" max="12037" width="22.42578125" style="27" bestFit="1" customWidth="1"/>
    <col min="12038" max="12038" width="14" style="27" customWidth="1"/>
    <col min="12039" max="12039" width="4.85546875" style="27" bestFit="1" customWidth="1"/>
    <col min="12040" max="12040" width="9.42578125" style="27" customWidth="1"/>
    <col min="12041" max="12041" width="9" style="27"/>
    <col min="12042" max="12042" width="7.85546875" style="27" bestFit="1" customWidth="1"/>
    <col min="12043" max="12043" width="5.85546875" style="27" bestFit="1" customWidth="1"/>
    <col min="12044" max="12044" width="6.140625" style="27" bestFit="1" customWidth="1"/>
    <col min="12045" max="12045" width="4.42578125" style="27" bestFit="1" customWidth="1"/>
    <col min="12046" max="12046" width="6.85546875" style="27" bestFit="1" customWidth="1"/>
    <col min="12047" max="12047" width="4.42578125" style="27" bestFit="1" customWidth="1"/>
    <col min="12048" max="12048" width="8.42578125" style="27" bestFit="1" customWidth="1"/>
    <col min="12049" max="12049" width="1.85546875" style="27" bestFit="1" customWidth="1"/>
    <col min="12050" max="12050" width="9.85546875" style="27" bestFit="1" customWidth="1"/>
    <col min="12051" max="12052" width="9" style="27"/>
    <col min="12053" max="12053" width="20.42578125" style="27" bestFit="1" customWidth="1"/>
    <col min="12054" max="12054" width="9.85546875" style="27" bestFit="1" customWidth="1"/>
    <col min="12055" max="12287" width="9" style="27"/>
    <col min="12288" max="12288" width="14.7109375" style="27" bestFit="1" customWidth="1"/>
    <col min="12289" max="12289" width="16" style="27" customWidth="1"/>
    <col min="12290" max="12290" width="12.85546875" style="27" bestFit="1" customWidth="1"/>
    <col min="12291" max="12292" width="10.140625" style="27" bestFit="1" customWidth="1"/>
    <col min="12293" max="12293" width="22.42578125" style="27" bestFit="1" customWidth="1"/>
    <col min="12294" max="12294" width="14" style="27" customWidth="1"/>
    <col min="12295" max="12295" width="4.85546875" style="27" bestFit="1" customWidth="1"/>
    <col min="12296" max="12296" width="9.42578125" style="27" customWidth="1"/>
    <col min="12297" max="12297" width="9" style="27"/>
    <col min="12298" max="12298" width="7.85546875" style="27" bestFit="1" customWidth="1"/>
    <col min="12299" max="12299" width="5.85546875" style="27" bestFit="1" customWidth="1"/>
    <col min="12300" max="12300" width="6.140625" style="27" bestFit="1" customWidth="1"/>
    <col min="12301" max="12301" width="4.42578125" style="27" bestFit="1" customWidth="1"/>
    <col min="12302" max="12302" width="6.85546875" style="27" bestFit="1" customWidth="1"/>
    <col min="12303" max="12303" width="4.42578125" style="27" bestFit="1" customWidth="1"/>
    <col min="12304" max="12304" width="8.42578125" style="27" bestFit="1" customWidth="1"/>
    <col min="12305" max="12305" width="1.85546875" style="27" bestFit="1" customWidth="1"/>
    <col min="12306" max="12306" width="9.85546875" style="27" bestFit="1" customWidth="1"/>
    <col min="12307" max="12308" width="9" style="27"/>
    <col min="12309" max="12309" width="20.42578125" style="27" bestFit="1" customWidth="1"/>
    <col min="12310" max="12310" width="9.85546875" style="27" bestFit="1" customWidth="1"/>
    <col min="12311" max="12543" width="9" style="27"/>
    <col min="12544" max="12544" width="14.7109375" style="27" bestFit="1" customWidth="1"/>
    <col min="12545" max="12545" width="16" style="27" customWidth="1"/>
    <col min="12546" max="12546" width="12.85546875" style="27" bestFit="1" customWidth="1"/>
    <col min="12547" max="12548" width="10.140625" style="27" bestFit="1" customWidth="1"/>
    <col min="12549" max="12549" width="22.42578125" style="27" bestFit="1" customWidth="1"/>
    <col min="12550" max="12550" width="14" style="27" customWidth="1"/>
    <col min="12551" max="12551" width="4.85546875" style="27" bestFit="1" customWidth="1"/>
    <col min="12552" max="12552" width="9.42578125" style="27" customWidth="1"/>
    <col min="12553" max="12553" width="9" style="27"/>
    <col min="12554" max="12554" width="7.85546875" style="27" bestFit="1" customWidth="1"/>
    <col min="12555" max="12555" width="5.85546875" style="27" bestFit="1" customWidth="1"/>
    <col min="12556" max="12556" width="6.140625" style="27" bestFit="1" customWidth="1"/>
    <col min="12557" max="12557" width="4.42578125" style="27" bestFit="1" customWidth="1"/>
    <col min="12558" max="12558" width="6.85546875" style="27" bestFit="1" customWidth="1"/>
    <col min="12559" max="12559" width="4.42578125" style="27" bestFit="1" customWidth="1"/>
    <col min="12560" max="12560" width="8.42578125" style="27" bestFit="1" customWidth="1"/>
    <col min="12561" max="12561" width="1.85546875" style="27" bestFit="1" customWidth="1"/>
    <col min="12562" max="12562" width="9.85546875" style="27" bestFit="1" customWidth="1"/>
    <col min="12563" max="12564" width="9" style="27"/>
    <col min="12565" max="12565" width="20.42578125" style="27" bestFit="1" customWidth="1"/>
    <col min="12566" max="12566" width="9.85546875" style="27" bestFit="1" customWidth="1"/>
    <col min="12567" max="12799" width="9" style="27"/>
    <col min="12800" max="12800" width="14.7109375" style="27" bestFit="1" customWidth="1"/>
    <col min="12801" max="12801" width="16" style="27" customWidth="1"/>
    <col min="12802" max="12802" width="12.85546875" style="27" bestFit="1" customWidth="1"/>
    <col min="12803" max="12804" width="10.140625" style="27" bestFit="1" customWidth="1"/>
    <col min="12805" max="12805" width="22.42578125" style="27" bestFit="1" customWidth="1"/>
    <col min="12806" max="12806" width="14" style="27" customWidth="1"/>
    <col min="12807" max="12807" width="4.85546875" style="27" bestFit="1" customWidth="1"/>
    <col min="12808" max="12808" width="9.42578125" style="27" customWidth="1"/>
    <col min="12809" max="12809" width="9" style="27"/>
    <col min="12810" max="12810" width="7.85546875" style="27" bestFit="1" customWidth="1"/>
    <col min="12811" max="12811" width="5.85546875" style="27" bestFit="1" customWidth="1"/>
    <col min="12812" max="12812" width="6.140625" style="27" bestFit="1" customWidth="1"/>
    <col min="12813" max="12813" width="4.42578125" style="27" bestFit="1" customWidth="1"/>
    <col min="12814" max="12814" width="6.85546875" style="27" bestFit="1" customWidth="1"/>
    <col min="12815" max="12815" width="4.42578125" style="27" bestFit="1" customWidth="1"/>
    <col min="12816" max="12816" width="8.42578125" style="27" bestFit="1" customWidth="1"/>
    <col min="12817" max="12817" width="1.85546875" style="27" bestFit="1" customWidth="1"/>
    <col min="12818" max="12818" width="9.85546875" style="27" bestFit="1" customWidth="1"/>
    <col min="12819" max="12820" width="9" style="27"/>
    <col min="12821" max="12821" width="20.42578125" style="27" bestFit="1" customWidth="1"/>
    <col min="12822" max="12822" width="9.85546875" style="27" bestFit="1" customWidth="1"/>
    <col min="12823" max="13055" width="9" style="27"/>
    <col min="13056" max="13056" width="14.7109375" style="27" bestFit="1" customWidth="1"/>
    <col min="13057" max="13057" width="16" style="27" customWidth="1"/>
    <col min="13058" max="13058" width="12.85546875" style="27" bestFit="1" customWidth="1"/>
    <col min="13059" max="13060" width="10.140625" style="27" bestFit="1" customWidth="1"/>
    <col min="13061" max="13061" width="22.42578125" style="27" bestFit="1" customWidth="1"/>
    <col min="13062" max="13062" width="14" style="27" customWidth="1"/>
    <col min="13063" max="13063" width="4.85546875" style="27" bestFit="1" customWidth="1"/>
    <col min="13064" max="13064" width="9.42578125" style="27" customWidth="1"/>
    <col min="13065" max="13065" width="9" style="27"/>
    <col min="13066" max="13066" width="7.85546875" style="27" bestFit="1" customWidth="1"/>
    <col min="13067" max="13067" width="5.85546875" style="27" bestFit="1" customWidth="1"/>
    <col min="13068" max="13068" width="6.140625" style="27" bestFit="1" customWidth="1"/>
    <col min="13069" max="13069" width="4.42578125" style="27" bestFit="1" customWidth="1"/>
    <col min="13070" max="13070" width="6.85546875" style="27" bestFit="1" customWidth="1"/>
    <col min="13071" max="13071" width="4.42578125" style="27" bestFit="1" customWidth="1"/>
    <col min="13072" max="13072" width="8.42578125" style="27" bestFit="1" customWidth="1"/>
    <col min="13073" max="13073" width="1.85546875" style="27" bestFit="1" customWidth="1"/>
    <col min="13074" max="13074" width="9.85546875" style="27" bestFit="1" customWidth="1"/>
    <col min="13075" max="13076" width="9" style="27"/>
    <col min="13077" max="13077" width="20.42578125" style="27" bestFit="1" customWidth="1"/>
    <col min="13078" max="13078" width="9.85546875" style="27" bestFit="1" customWidth="1"/>
    <col min="13079" max="13311" width="9" style="27"/>
    <col min="13312" max="13312" width="14.7109375" style="27" bestFit="1" customWidth="1"/>
    <col min="13313" max="13313" width="16" style="27" customWidth="1"/>
    <col min="13314" max="13314" width="12.85546875" style="27" bestFit="1" customWidth="1"/>
    <col min="13315" max="13316" width="10.140625" style="27" bestFit="1" customWidth="1"/>
    <col min="13317" max="13317" width="22.42578125" style="27" bestFit="1" customWidth="1"/>
    <col min="13318" max="13318" width="14" style="27" customWidth="1"/>
    <col min="13319" max="13319" width="4.85546875" style="27" bestFit="1" customWidth="1"/>
    <col min="13320" max="13320" width="9.42578125" style="27" customWidth="1"/>
    <col min="13321" max="13321" width="9" style="27"/>
    <col min="13322" max="13322" width="7.85546875" style="27" bestFit="1" customWidth="1"/>
    <col min="13323" max="13323" width="5.85546875" style="27" bestFit="1" customWidth="1"/>
    <col min="13324" max="13324" width="6.140625" style="27" bestFit="1" customWidth="1"/>
    <col min="13325" max="13325" width="4.42578125" style="27" bestFit="1" customWidth="1"/>
    <col min="13326" max="13326" width="6.85546875" style="27" bestFit="1" customWidth="1"/>
    <col min="13327" max="13327" width="4.42578125" style="27" bestFit="1" customWidth="1"/>
    <col min="13328" max="13328" width="8.42578125" style="27" bestFit="1" customWidth="1"/>
    <col min="13329" max="13329" width="1.85546875" style="27" bestFit="1" customWidth="1"/>
    <col min="13330" max="13330" width="9.85546875" style="27" bestFit="1" customWidth="1"/>
    <col min="13331" max="13332" width="9" style="27"/>
    <col min="13333" max="13333" width="20.42578125" style="27" bestFit="1" customWidth="1"/>
    <col min="13334" max="13334" width="9.85546875" style="27" bestFit="1" customWidth="1"/>
    <col min="13335" max="13567" width="9" style="27"/>
    <col min="13568" max="13568" width="14.7109375" style="27" bestFit="1" customWidth="1"/>
    <col min="13569" max="13569" width="16" style="27" customWidth="1"/>
    <col min="13570" max="13570" width="12.85546875" style="27" bestFit="1" customWidth="1"/>
    <col min="13571" max="13572" width="10.140625" style="27" bestFit="1" customWidth="1"/>
    <col min="13573" max="13573" width="22.42578125" style="27" bestFit="1" customWidth="1"/>
    <col min="13574" max="13574" width="14" style="27" customWidth="1"/>
    <col min="13575" max="13575" width="4.85546875" style="27" bestFit="1" customWidth="1"/>
    <col min="13576" max="13576" width="9.42578125" style="27" customWidth="1"/>
    <col min="13577" max="13577" width="9" style="27"/>
    <col min="13578" max="13578" width="7.85546875" style="27" bestFit="1" customWidth="1"/>
    <col min="13579" max="13579" width="5.85546875" style="27" bestFit="1" customWidth="1"/>
    <col min="13580" max="13580" width="6.140625" style="27" bestFit="1" customWidth="1"/>
    <col min="13581" max="13581" width="4.42578125" style="27" bestFit="1" customWidth="1"/>
    <col min="13582" max="13582" width="6.85546875" style="27" bestFit="1" customWidth="1"/>
    <col min="13583" max="13583" width="4.42578125" style="27" bestFit="1" customWidth="1"/>
    <col min="13584" max="13584" width="8.42578125" style="27" bestFit="1" customWidth="1"/>
    <col min="13585" max="13585" width="1.85546875" style="27" bestFit="1" customWidth="1"/>
    <col min="13586" max="13586" width="9.85546875" style="27" bestFit="1" customWidth="1"/>
    <col min="13587" max="13588" width="9" style="27"/>
    <col min="13589" max="13589" width="20.42578125" style="27" bestFit="1" customWidth="1"/>
    <col min="13590" max="13590" width="9.85546875" style="27" bestFit="1" customWidth="1"/>
    <col min="13591" max="13823" width="9" style="27"/>
    <col min="13824" max="13824" width="14.7109375" style="27" bestFit="1" customWidth="1"/>
    <col min="13825" max="13825" width="16" style="27" customWidth="1"/>
    <col min="13826" max="13826" width="12.85546875" style="27" bestFit="1" customWidth="1"/>
    <col min="13827" max="13828" width="10.140625" style="27" bestFit="1" customWidth="1"/>
    <col min="13829" max="13829" width="22.42578125" style="27" bestFit="1" customWidth="1"/>
    <col min="13830" max="13830" width="14" style="27" customWidth="1"/>
    <col min="13831" max="13831" width="4.85546875" style="27" bestFit="1" customWidth="1"/>
    <col min="13832" max="13832" width="9.42578125" style="27" customWidth="1"/>
    <col min="13833" max="13833" width="9" style="27"/>
    <col min="13834" max="13834" width="7.85546875" style="27" bestFit="1" customWidth="1"/>
    <col min="13835" max="13835" width="5.85546875" style="27" bestFit="1" customWidth="1"/>
    <col min="13836" max="13836" width="6.140625" style="27" bestFit="1" customWidth="1"/>
    <col min="13837" max="13837" width="4.42578125" style="27" bestFit="1" customWidth="1"/>
    <col min="13838" max="13838" width="6.85546875" style="27" bestFit="1" customWidth="1"/>
    <col min="13839" max="13839" width="4.42578125" style="27" bestFit="1" customWidth="1"/>
    <col min="13840" max="13840" width="8.42578125" style="27" bestFit="1" customWidth="1"/>
    <col min="13841" max="13841" width="1.85546875" style="27" bestFit="1" customWidth="1"/>
    <col min="13842" max="13842" width="9.85546875" style="27" bestFit="1" customWidth="1"/>
    <col min="13843" max="13844" width="9" style="27"/>
    <col min="13845" max="13845" width="20.42578125" style="27" bestFit="1" customWidth="1"/>
    <col min="13846" max="13846" width="9.85546875" style="27" bestFit="1" customWidth="1"/>
    <col min="13847" max="14079" width="9" style="27"/>
    <col min="14080" max="14080" width="14.7109375" style="27" bestFit="1" customWidth="1"/>
    <col min="14081" max="14081" width="16" style="27" customWidth="1"/>
    <col min="14082" max="14082" width="12.85546875" style="27" bestFit="1" customWidth="1"/>
    <col min="14083" max="14084" width="10.140625" style="27" bestFit="1" customWidth="1"/>
    <col min="14085" max="14085" width="22.42578125" style="27" bestFit="1" customWidth="1"/>
    <col min="14086" max="14086" width="14" style="27" customWidth="1"/>
    <col min="14087" max="14087" width="4.85546875" style="27" bestFit="1" customWidth="1"/>
    <col min="14088" max="14088" width="9.42578125" style="27" customWidth="1"/>
    <col min="14089" max="14089" width="9" style="27"/>
    <col min="14090" max="14090" width="7.85546875" style="27" bestFit="1" customWidth="1"/>
    <col min="14091" max="14091" width="5.85546875" style="27" bestFit="1" customWidth="1"/>
    <col min="14092" max="14092" width="6.140625" style="27" bestFit="1" customWidth="1"/>
    <col min="14093" max="14093" width="4.42578125" style="27" bestFit="1" customWidth="1"/>
    <col min="14094" max="14094" width="6.85546875" style="27" bestFit="1" customWidth="1"/>
    <col min="14095" max="14095" width="4.42578125" style="27" bestFit="1" customWidth="1"/>
    <col min="14096" max="14096" width="8.42578125" style="27" bestFit="1" customWidth="1"/>
    <col min="14097" max="14097" width="1.85546875" style="27" bestFit="1" customWidth="1"/>
    <col min="14098" max="14098" width="9.85546875" style="27" bestFit="1" customWidth="1"/>
    <col min="14099" max="14100" width="9" style="27"/>
    <col min="14101" max="14101" width="20.42578125" style="27" bestFit="1" customWidth="1"/>
    <col min="14102" max="14102" width="9.85546875" style="27" bestFit="1" customWidth="1"/>
    <col min="14103" max="14335" width="9" style="27"/>
    <col min="14336" max="14336" width="14.7109375" style="27" bestFit="1" customWidth="1"/>
    <col min="14337" max="14337" width="16" style="27" customWidth="1"/>
    <col min="14338" max="14338" width="12.85546875" style="27" bestFit="1" customWidth="1"/>
    <col min="14339" max="14340" width="10.140625" style="27" bestFit="1" customWidth="1"/>
    <col min="14341" max="14341" width="22.42578125" style="27" bestFit="1" customWidth="1"/>
    <col min="14342" max="14342" width="14" style="27" customWidth="1"/>
    <col min="14343" max="14343" width="4.85546875" style="27" bestFit="1" customWidth="1"/>
    <col min="14344" max="14344" width="9.42578125" style="27" customWidth="1"/>
    <col min="14345" max="14345" width="9" style="27"/>
    <col min="14346" max="14346" width="7.85546875" style="27" bestFit="1" customWidth="1"/>
    <col min="14347" max="14347" width="5.85546875" style="27" bestFit="1" customWidth="1"/>
    <col min="14348" max="14348" width="6.140625" style="27" bestFit="1" customWidth="1"/>
    <col min="14349" max="14349" width="4.42578125" style="27" bestFit="1" customWidth="1"/>
    <col min="14350" max="14350" width="6.85546875" style="27" bestFit="1" customWidth="1"/>
    <col min="14351" max="14351" width="4.42578125" style="27" bestFit="1" customWidth="1"/>
    <col min="14352" max="14352" width="8.42578125" style="27" bestFit="1" customWidth="1"/>
    <col min="14353" max="14353" width="1.85546875" style="27" bestFit="1" customWidth="1"/>
    <col min="14354" max="14354" width="9.85546875" style="27" bestFit="1" customWidth="1"/>
    <col min="14355" max="14356" width="9" style="27"/>
    <col min="14357" max="14357" width="20.42578125" style="27" bestFit="1" customWidth="1"/>
    <col min="14358" max="14358" width="9.85546875" style="27" bestFit="1" customWidth="1"/>
    <col min="14359" max="14591" width="9" style="27"/>
    <col min="14592" max="14592" width="14.7109375" style="27" bestFit="1" customWidth="1"/>
    <col min="14593" max="14593" width="16" style="27" customWidth="1"/>
    <col min="14594" max="14594" width="12.85546875" style="27" bestFit="1" customWidth="1"/>
    <col min="14595" max="14596" width="10.140625" style="27" bestFit="1" customWidth="1"/>
    <col min="14597" max="14597" width="22.42578125" style="27" bestFit="1" customWidth="1"/>
    <col min="14598" max="14598" width="14" style="27" customWidth="1"/>
    <col min="14599" max="14599" width="4.85546875" style="27" bestFit="1" customWidth="1"/>
    <col min="14600" max="14600" width="9.42578125" style="27" customWidth="1"/>
    <col min="14601" max="14601" width="9" style="27"/>
    <col min="14602" max="14602" width="7.85546875" style="27" bestFit="1" customWidth="1"/>
    <col min="14603" max="14603" width="5.85546875" style="27" bestFit="1" customWidth="1"/>
    <col min="14604" max="14604" width="6.140625" style="27" bestFit="1" customWidth="1"/>
    <col min="14605" max="14605" width="4.42578125" style="27" bestFit="1" customWidth="1"/>
    <col min="14606" max="14606" width="6.85546875" style="27" bestFit="1" customWidth="1"/>
    <col min="14607" max="14607" width="4.42578125" style="27" bestFit="1" customWidth="1"/>
    <col min="14608" max="14608" width="8.42578125" style="27" bestFit="1" customWidth="1"/>
    <col min="14609" max="14609" width="1.85546875" style="27" bestFit="1" customWidth="1"/>
    <col min="14610" max="14610" width="9.85546875" style="27" bestFit="1" customWidth="1"/>
    <col min="14611" max="14612" width="9" style="27"/>
    <col min="14613" max="14613" width="20.42578125" style="27" bestFit="1" customWidth="1"/>
    <col min="14614" max="14614" width="9.85546875" style="27" bestFit="1" customWidth="1"/>
    <col min="14615" max="14847" width="9" style="27"/>
    <col min="14848" max="14848" width="14.7109375" style="27" bestFit="1" customWidth="1"/>
    <col min="14849" max="14849" width="16" style="27" customWidth="1"/>
    <col min="14850" max="14850" width="12.85546875" style="27" bestFit="1" customWidth="1"/>
    <col min="14851" max="14852" width="10.140625" style="27" bestFit="1" customWidth="1"/>
    <col min="14853" max="14853" width="22.42578125" style="27" bestFit="1" customWidth="1"/>
    <col min="14854" max="14854" width="14" style="27" customWidth="1"/>
    <col min="14855" max="14855" width="4.85546875" style="27" bestFit="1" customWidth="1"/>
    <col min="14856" max="14856" width="9.42578125" style="27" customWidth="1"/>
    <col min="14857" max="14857" width="9" style="27"/>
    <col min="14858" max="14858" width="7.85546875" style="27" bestFit="1" customWidth="1"/>
    <col min="14859" max="14859" width="5.85546875" style="27" bestFit="1" customWidth="1"/>
    <col min="14860" max="14860" width="6.140625" style="27" bestFit="1" customWidth="1"/>
    <col min="14861" max="14861" width="4.42578125" style="27" bestFit="1" customWidth="1"/>
    <col min="14862" max="14862" width="6.85546875" style="27" bestFit="1" customWidth="1"/>
    <col min="14863" max="14863" width="4.42578125" style="27" bestFit="1" customWidth="1"/>
    <col min="14864" max="14864" width="8.42578125" style="27" bestFit="1" customWidth="1"/>
    <col min="14865" max="14865" width="1.85546875" style="27" bestFit="1" customWidth="1"/>
    <col min="14866" max="14866" width="9.85546875" style="27" bestFit="1" customWidth="1"/>
    <col min="14867" max="14868" width="9" style="27"/>
    <col min="14869" max="14869" width="20.42578125" style="27" bestFit="1" customWidth="1"/>
    <col min="14870" max="14870" width="9.85546875" style="27" bestFit="1" customWidth="1"/>
    <col min="14871" max="15103" width="9" style="27"/>
    <col min="15104" max="15104" width="14.7109375" style="27" bestFit="1" customWidth="1"/>
    <col min="15105" max="15105" width="16" style="27" customWidth="1"/>
    <col min="15106" max="15106" width="12.85546875" style="27" bestFit="1" customWidth="1"/>
    <col min="15107" max="15108" width="10.140625" style="27" bestFit="1" customWidth="1"/>
    <col min="15109" max="15109" width="22.42578125" style="27" bestFit="1" customWidth="1"/>
    <col min="15110" max="15110" width="14" style="27" customWidth="1"/>
    <col min="15111" max="15111" width="4.85546875" style="27" bestFit="1" customWidth="1"/>
    <col min="15112" max="15112" width="9.42578125" style="27" customWidth="1"/>
    <col min="15113" max="15113" width="9" style="27"/>
    <col min="15114" max="15114" width="7.85546875" style="27" bestFit="1" customWidth="1"/>
    <col min="15115" max="15115" width="5.85546875" style="27" bestFit="1" customWidth="1"/>
    <col min="15116" max="15116" width="6.140625" style="27" bestFit="1" customWidth="1"/>
    <col min="15117" max="15117" width="4.42578125" style="27" bestFit="1" customWidth="1"/>
    <col min="15118" max="15118" width="6.85546875" style="27" bestFit="1" customWidth="1"/>
    <col min="15119" max="15119" width="4.42578125" style="27" bestFit="1" customWidth="1"/>
    <col min="15120" max="15120" width="8.42578125" style="27" bestFit="1" customWidth="1"/>
    <col min="15121" max="15121" width="1.85546875" style="27" bestFit="1" customWidth="1"/>
    <col min="15122" max="15122" width="9.85546875" style="27" bestFit="1" customWidth="1"/>
    <col min="15123" max="15124" width="9" style="27"/>
    <col min="15125" max="15125" width="20.42578125" style="27" bestFit="1" customWidth="1"/>
    <col min="15126" max="15126" width="9.85546875" style="27" bestFit="1" customWidth="1"/>
    <col min="15127" max="15359" width="9" style="27"/>
    <col min="15360" max="15360" width="14.7109375" style="27" bestFit="1" customWidth="1"/>
    <col min="15361" max="15361" width="16" style="27" customWidth="1"/>
    <col min="15362" max="15362" width="12.85546875" style="27" bestFit="1" customWidth="1"/>
    <col min="15363" max="15364" width="10.140625" style="27" bestFit="1" customWidth="1"/>
    <col min="15365" max="15365" width="22.42578125" style="27" bestFit="1" customWidth="1"/>
    <col min="15366" max="15366" width="14" style="27" customWidth="1"/>
    <col min="15367" max="15367" width="4.85546875" style="27" bestFit="1" customWidth="1"/>
    <col min="15368" max="15368" width="9.42578125" style="27" customWidth="1"/>
    <col min="15369" max="15369" width="9" style="27"/>
    <col min="15370" max="15370" width="7.85546875" style="27" bestFit="1" customWidth="1"/>
    <col min="15371" max="15371" width="5.85546875" style="27" bestFit="1" customWidth="1"/>
    <col min="15372" max="15372" width="6.140625" style="27" bestFit="1" customWidth="1"/>
    <col min="15373" max="15373" width="4.42578125" style="27" bestFit="1" customWidth="1"/>
    <col min="15374" max="15374" width="6.85546875" style="27" bestFit="1" customWidth="1"/>
    <col min="15375" max="15375" width="4.42578125" style="27" bestFit="1" customWidth="1"/>
    <col min="15376" max="15376" width="8.42578125" style="27" bestFit="1" customWidth="1"/>
    <col min="15377" max="15377" width="1.85546875" style="27" bestFit="1" customWidth="1"/>
    <col min="15378" max="15378" width="9.85546875" style="27" bestFit="1" customWidth="1"/>
    <col min="15379" max="15380" width="9" style="27"/>
    <col min="15381" max="15381" width="20.42578125" style="27" bestFit="1" customWidth="1"/>
    <col min="15382" max="15382" width="9.85546875" style="27" bestFit="1" customWidth="1"/>
    <col min="15383" max="15615" width="9" style="27"/>
    <col min="15616" max="15616" width="14.7109375" style="27" bestFit="1" customWidth="1"/>
    <col min="15617" max="15617" width="16" style="27" customWidth="1"/>
    <col min="15618" max="15618" width="12.85546875" style="27" bestFit="1" customWidth="1"/>
    <col min="15619" max="15620" width="10.140625" style="27" bestFit="1" customWidth="1"/>
    <col min="15621" max="15621" width="22.42578125" style="27" bestFit="1" customWidth="1"/>
    <col min="15622" max="15622" width="14" style="27" customWidth="1"/>
    <col min="15623" max="15623" width="4.85546875" style="27" bestFit="1" customWidth="1"/>
    <col min="15624" max="15624" width="9.42578125" style="27" customWidth="1"/>
    <col min="15625" max="15625" width="9" style="27"/>
    <col min="15626" max="15626" width="7.85546875" style="27" bestFit="1" customWidth="1"/>
    <col min="15627" max="15627" width="5.85546875" style="27" bestFit="1" customWidth="1"/>
    <col min="15628" max="15628" width="6.140625" style="27" bestFit="1" customWidth="1"/>
    <col min="15629" max="15629" width="4.42578125" style="27" bestFit="1" customWidth="1"/>
    <col min="15630" max="15630" width="6.85546875" style="27" bestFit="1" customWidth="1"/>
    <col min="15631" max="15631" width="4.42578125" style="27" bestFit="1" customWidth="1"/>
    <col min="15632" max="15632" width="8.42578125" style="27" bestFit="1" customWidth="1"/>
    <col min="15633" max="15633" width="1.85546875" style="27" bestFit="1" customWidth="1"/>
    <col min="15634" max="15634" width="9.85546875" style="27" bestFit="1" customWidth="1"/>
    <col min="15635" max="15636" width="9" style="27"/>
    <col min="15637" max="15637" width="20.42578125" style="27" bestFit="1" customWidth="1"/>
    <col min="15638" max="15638" width="9.85546875" style="27" bestFit="1" customWidth="1"/>
    <col min="15639" max="15871" width="9" style="27"/>
    <col min="15872" max="15872" width="14.7109375" style="27" bestFit="1" customWidth="1"/>
    <col min="15873" max="15873" width="16" style="27" customWidth="1"/>
    <col min="15874" max="15874" width="12.85546875" style="27" bestFit="1" customWidth="1"/>
    <col min="15875" max="15876" width="10.140625" style="27" bestFit="1" customWidth="1"/>
    <col min="15877" max="15877" width="22.42578125" style="27" bestFit="1" customWidth="1"/>
    <col min="15878" max="15878" width="14" style="27" customWidth="1"/>
    <col min="15879" max="15879" width="4.85546875" style="27" bestFit="1" customWidth="1"/>
    <col min="15880" max="15880" width="9.42578125" style="27" customWidth="1"/>
    <col min="15881" max="15881" width="9" style="27"/>
    <col min="15882" max="15882" width="7.85546875" style="27" bestFit="1" customWidth="1"/>
    <col min="15883" max="15883" width="5.85546875" style="27" bestFit="1" customWidth="1"/>
    <col min="15884" max="15884" width="6.140625" style="27" bestFit="1" customWidth="1"/>
    <col min="15885" max="15885" width="4.42578125" style="27" bestFit="1" customWidth="1"/>
    <col min="15886" max="15886" width="6.85546875" style="27" bestFit="1" customWidth="1"/>
    <col min="15887" max="15887" width="4.42578125" style="27" bestFit="1" customWidth="1"/>
    <col min="15888" max="15888" width="8.42578125" style="27" bestFit="1" customWidth="1"/>
    <col min="15889" max="15889" width="1.85546875" style="27" bestFit="1" customWidth="1"/>
    <col min="15890" max="15890" width="9.85546875" style="27" bestFit="1" customWidth="1"/>
    <col min="15891" max="15892" width="9" style="27"/>
    <col min="15893" max="15893" width="20.42578125" style="27" bestFit="1" customWidth="1"/>
    <col min="15894" max="15894" width="9.85546875" style="27" bestFit="1" customWidth="1"/>
    <col min="15895" max="16127" width="9" style="27"/>
    <col min="16128" max="16128" width="14.7109375" style="27" bestFit="1" customWidth="1"/>
    <col min="16129" max="16129" width="16" style="27" customWidth="1"/>
    <col min="16130" max="16130" width="12.85546875" style="27" bestFit="1" customWidth="1"/>
    <col min="16131" max="16132" width="10.140625" style="27" bestFit="1" customWidth="1"/>
    <col min="16133" max="16133" width="22.42578125" style="27" bestFit="1" customWidth="1"/>
    <col min="16134" max="16134" width="14" style="27" customWidth="1"/>
    <col min="16135" max="16135" width="4.85546875" style="27" bestFit="1" customWidth="1"/>
    <col min="16136" max="16136" width="9.42578125" style="27" customWidth="1"/>
    <col min="16137" max="16137" width="9" style="27"/>
    <col min="16138" max="16138" width="7.85546875" style="27" bestFit="1" customWidth="1"/>
    <col min="16139" max="16139" width="5.85546875" style="27" bestFit="1" customWidth="1"/>
    <col min="16140" max="16140" width="6.140625" style="27" bestFit="1" customWidth="1"/>
    <col min="16141" max="16141" width="4.42578125" style="27" bestFit="1" customWidth="1"/>
    <col min="16142" max="16142" width="6.85546875" style="27" bestFit="1" customWidth="1"/>
    <col min="16143" max="16143" width="4.42578125" style="27" bestFit="1" customWidth="1"/>
    <col min="16144" max="16144" width="8.42578125" style="27" bestFit="1" customWidth="1"/>
    <col min="16145" max="16145" width="1.85546875" style="27" bestFit="1" customWidth="1"/>
    <col min="16146" max="16146" width="9.85546875" style="27" bestFit="1" customWidth="1"/>
    <col min="16147" max="16148" width="9" style="27"/>
    <col min="16149" max="16149" width="20.42578125" style="27" bestFit="1" customWidth="1"/>
    <col min="16150" max="16150" width="9.85546875" style="27" bestFit="1" customWidth="1"/>
    <col min="16151" max="16384" width="9" style="27"/>
  </cols>
  <sheetData>
    <row r="1" spans="1:14" ht="17.25" thickTop="1" thickBot="1">
      <c r="A1" s="243" t="s">
        <v>31</v>
      </c>
      <c r="B1" s="41">
        <v>30000</v>
      </c>
      <c r="C1" s="41">
        <f>B1</f>
        <v>30000</v>
      </c>
      <c r="D1" s="215" t="s">
        <v>32</v>
      </c>
      <c r="E1" s="215"/>
      <c r="F1" s="41"/>
      <c r="G1" s="42"/>
      <c r="H1" s="27">
        <v>2013</v>
      </c>
      <c r="I1" s="56" t="s">
        <v>50</v>
      </c>
    </row>
    <row r="2" spans="1:14" ht="17.25" thickTop="1" thickBot="1">
      <c r="A2" s="234"/>
      <c r="B2" s="52">
        <f>IF(B1&lt;=5000,"0",IF(B1&lt;=30000,(B1-5000)*0.1,IF(B1&lt;=45000,(B1-30000)*0.15+2500,IF(B1&lt;=250000,(B1-45000)*0.2+4750,IF(B1&gt;250000,(B1-250000)*0.25+45750,"000")))))</f>
        <v>2500</v>
      </c>
      <c r="C2" s="53">
        <f>IF(C1&lt;=5000,"0",IF(C1&lt;=30000,(C1*0.1)-500,IF(C1&lt;=45000,(C1*0.15)-2000,IF(C1&lt;=250000,(C1*0.2)-4250,IF(C1&gt;250000,(C1*25%)-16750,"000")))))</f>
        <v>2500</v>
      </c>
      <c r="D2" s="18" t="s">
        <v>35</v>
      </c>
      <c r="E2" s="18" t="s">
        <v>0</v>
      </c>
      <c r="F2" s="19" t="s">
        <v>36</v>
      </c>
      <c r="G2" s="42"/>
      <c r="H2" s="27">
        <v>2014</v>
      </c>
      <c r="I2" s="56" t="s">
        <v>50</v>
      </c>
    </row>
    <row r="3" spans="1:14" ht="17.25" thickTop="1" thickBot="1">
      <c r="A3" s="41"/>
      <c r="B3" s="41"/>
      <c r="C3" s="41"/>
      <c r="D3" s="18">
        <v>0</v>
      </c>
      <c r="E3" s="18">
        <v>5000</v>
      </c>
      <c r="F3" s="18" t="s">
        <v>38</v>
      </c>
      <c r="G3" s="42"/>
    </row>
    <row r="4" spans="1:14" ht="17.25" thickTop="1" thickBot="1">
      <c r="A4" s="240" t="s">
        <v>39</v>
      </c>
      <c r="B4" s="54">
        <f>B2</f>
        <v>2500</v>
      </c>
      <c r="C4" s="41"/>
      <c r="D4" s="18">
        <v>5001</v>
      </c>
      <c r="E4" s="18">
        <v>30000</v>
      </c>
      <c r="F4" s="22" t="s">
        <v>40</v>
      </c>
      <c r="G4" s="42"/>
    </row>
    <row r="5" spans="1:14" ht="17.25" thickTop="1" thickBot="1">
      <c r="A5" s="234"/>
      <c r="B5" s="55">
        <f>IF(B4&lt;=2500,(B4+500)/0.1,IF(B4&lt;=4750,(B4+2000)/0.15,IF(B4&lt;=45750,(B4+4250)/0.2,IF(B4&gt;45750,(B4+16750)/0.25,"LOL"))))</f>
        <v>30000</v>
      </c>
      <c r="C5" s="41"/>
      <c r="D5" s="18">
        <v>30001</v>
      </c>
      <c r="E5" s="18">
        <v>45000</v>
      </c>
      <c r="F5" s="22" t="s">
        <v>51</v>
      </c>
      <c r="G5" s="42"/>
      <c r="I5" s="208" t="s">
        <v>156</v>
      </c>
      <c r="J5" s="208"/>
      <c r="K5" s="208"/>
      <c r="L5" s="208"/>
      <c r="M5" s="208"/>
      <c r="N5" s="208"/>
    </row>
    <row r="6" spans="1:14" ht="17.25" thickTop="1" thickBot="1">
      <c r="A6" s="41"/>
      <c r="B6" s="41" t="s">
        <v>42</v>
      </c>
      <c r="C6" s="41"/>
      <c r="D6" s="18">
        <v>45001</v>
      </c>
      <c r="E6" s="21">
        <v>250000</v>
      </c>
      <c r="F6" s="22" t="s">
        <v>52</v>
      </c>
      <c r="G6" s="42"/>
      <c r="I6" s="208"/>
      <c r="J6" s="208"/>
      <c r="K6" s="208"/>
      <c r="L6" s="208"/>
      <c r="M6" s="208"/>
      <c r="N6" s="208"/>
    </row>
    <row r="7" spans="1:14" ht="17.25" customHeight="1" thickTop="1" thickBot="1">
      <c r="A7" s="41"/>
      <c r="B7" s="41" t="s">
        <v>42</v>
      </c>
      <c r="C7" s="41"/>
      <c r="D7" s="18">
        <v>250001</v>
      </c>
      <c r="E7" s="21" t="s">
        <v>44</v>
      </c>
      <c r="F7" s="22" t="s">
        <v>53</v>
      </c>
      <c r="G7" s="42"/>
      <c r="I7" s="208"/>
      <c r="J7" s="208"/>
      <c r="K7" s="208"/>
      <c r="L7" s="208"/>
      <c r="M7" s="208"/>
      <c r="N7" s="208"/>
    </row>
    <row r="8" spans="1:14" ht="17.25" customHeight="1" thickTop="1" thickBot="1">
      <c r="A8" s="41"/>
      <c r="B8" s="41" t="s">
        <v>42</v>
      </c>
      <c r="C8" s="41"/>
      <c r="D8" s="41"/>
      <c r="E8" s="41"/>
      <c r="F8" s="41"/>
      <c r="G8" s="42"/>
      <c r="I8" s="208"/>
      <c r="J8" s="208"/>
      <c r="K8" s="208"/>
      <c r="L8" s="208"/>
      <c r="M8" s="208"/>
      <c r="N8" s="208"/>
    </row>
    <row r="9" spans="1:14" ht="17.25" customHeight="1" thickTop="1" thickBot="1">
      <c r="A9" s="41"/>
      <c r="B9" s="41" t="s">
        <v>42</v>
      </c>
      <c r="C9" s="41"/>
      <c r="D9" s="241" t="s">
        <v>36</v>
      </c>
      <c r="E9" s="242"/>
      <c r="F9" s="41"/>
      <c r="G9" s="42"/>
      <c r="I9" s="208"/>
      <c r="J9" s="208"/>
      <c r="K9" s="208"/>
      <c r="L9" s="208"/>
      <c r="M9" s="208"/>
      <c r="N9" s="208"/>
    </row>
    <row r="10" spans="1:14" ht="17.25" customHeight="1" thickTop="1" thickBot="1">
      <c r="A10" s="41"/>
      <c r="B10" s="41" t="s">
        <v>42</v>
      </c>
      <c r="C10" s="41"/>
      <c r="D10" s="18" t="s">
        <v>35</v>
      </c>
      <c r="E10" s="18" t="s">
        <v>0</v>
      </c>
      <c r="F10" s="19" t="s">
        <v>32</v>
      </c>
      <c r="G10" s="42"/>
      <c r="I10" s="208"/>
      <c r="J10" s="208"/>
      <c r="K10" s="208"/>
      <c r="L10" s="208"/>
      <c r="M10" s="208"/>
      <c r="N10" s="208"/>
    </row>
    <row r="11" spans="1:14" ht="17.25" customHeight="1" thickTop="1" thickBot="1">
      <c r="A11" s="41"/>
      <c r="B11" s="41" t="s">
        <v>42</v>
      </c>
      <c r="C11" s="41"/>
      <c r="D11" s="18">
        <v>0</v>
      </c>
      <c r="E11" s="18">
        <v>2500</v>
      </c>
      <c r="F11" s="20" t="s">
        <v>46</v>
      </c>
      <c r="G11" s="42"/>
      <c r="I11" s="208"/>
      <c r="J11" s="208"/>
      <c r="K11" s="208"/>
      <c r="L11" s="208"/>
      <c r="M11" s="208"/>
      <c r="N11" s="208"/>
    </row>
    <row r="12" spans="1:14" ht="17.25" customHeight="1" thickTop="1" thickBot="1">
      <c r="A12" s="41"/>
      <c r="B12" s="41" t="s">
        <v>42</v>
      </c>
      <c r="C12" s="41"/>
      <c r="D12" s="18">
        <v>2501</v>
      </c>
      <c r="E12" s="18">
        <v>4750</v>
      </c>
      <c r="F12" s="20" t="s">
        <v>54</v>
      </c>
      <c r="G12" s="42"/>
      <c r="I12" s="208"/>
      <c r="J12" s="208"/>
      <c r="K12" s="208"/>
      <c r="L12" s="208"/>
      <c r="M12" s="208"/>
      <c r="N12" s="208"/>
    </row>
    <row r="13" spans="1:14" ht="17.25" customHeight="1" thickTop="1" thickBot="1">
      <c r="A13" s="41"/>
      <c r="B13" s="41" t="s">
        <v>42</v>
      </c>
      <c r="C13" s="41"/>
      <c r="D13" s="18">
        <v>4751</v>
      </c>
      <c r="E13" s="18">
        <v>45750</v>
      </c>
      <c r="F13" s="20" t="s">
        <v>55</v>
      </c>
      <c r="G13" s="42"/>
    </row>
    <row r="14" spans="1:14" ht="17.25" customHeight="1" thickTop="1" thickBot="1">
      <c r="A14" s="41"/>
      <c r="B14" s="41" t="s">
        <v>42</v>
      </c>
      <c r="C14" s="41"/>
      <c r="D14" s="18">
        <v>45751</v>
      </c>
      <c r="E14" s="21" t="s">
        <v>44</v>
      </c>
      <c r="F14" s="20" t="s">
        <v>56</v>
      </c>
      <c r="G14" s="42"/>
    </row>
    <row r="15" spans="1:14" ht="16.5" customHeight="1" thickTop="1">
      <c r="A15" s="41"/>
      <c r="B15" s="41" t="s">
        <v>42</v>
      </c>
      <c r="C15" s="41"/>
      <c r="D15" s="41"/>
      <c r="E15" s="41"/>
      <c r="F15" s="41"/>
      <c r="G15" s="42"/>
    </row>
    <row r="16" spans="1:14" ht="17.25" customHeight="1">
      <c r="A16" s="41"/>
      <c r="B16" s="41" t="s">
        <v>42</v>
      </c>
      <c r="C16" s="41"/>
      <c r="D16" s="41"/>
      <c r="E16" s="41"/>
      <c r="F16" s="41"/>
    </row>
  </sheetData>
  <mergeCells count="5">
    <mergeCell ref="I5:N12"/>
    <mergeCell ref="A1:A2"/>
    <mergeCell ref="D1:E1"/>
    <mergeCell ref="A4:A5"/>
    <mergeCell ref="D9:E9"/>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6"/>
  <sheetViews>
    <sheetView rightToLeft="1" workbookViewId="0">
      <selection activeCell="I17" sqref="I17"/>
    </sheetView>
  </sheetViews>
  <sheetFormatPr defaultRowHeight="15.75"/>
  <cols>
    <col min="1" max="1" width="16.5703125" style="27" bestFit="1" customWidth="1"/>
    <col min="2" max="2" width="16" style="27" customWidth="1"/>
    <col min="3" max="3" width="12.85546875" style="27" bestFit="1" customWidth="1"/>
    <col min="4" max="5" width="11.5703125" style="27" bestFit="1" customWidth="1"/>
    <col min="6" max="6" width="26.85546875" style="27" bestFit="1" customWidth="1"/>
    <col min="7" max="7" width="4.85546875" style="27" bestFit="1" customWidth="1"/>
    <col min="8" max="8" width="29.5703125" style="27" customWidth="1"/>
    <col min="9" max="9" width="25" style="27" bestFit="1" customWidth="1"/>
    <col min="10" max="10" width="7.85546875" style="27" bestFit="1" customWidth="1"/>
    <col min="11" max="11" width="5.85546875" style="27" bestFit="1" customWidth="1"/>
    <col min="12" max="12" width="6.140625" style="27" bestFit="1" customWidth="1"/>
    <col min="13" max="13" width="4.42578125" style="27" bestFit="1" customWidth="1"/>
    <col min="14" max="14" width="6.85546875" style="27" bestFit="1" customWidth="1"/>
    <col min="15" max="15" width="4.42578125" style="27" bestFit="1" customWidth="1"/>
    <col min="16" max="16" width="8.42578125" style="27" bestFit="1" customWidth="1"/>
    <col min="17" max="17" width="1.85546875" style="27" bestFit="1" customWidth="1"/>
    <col min="18" max="18" width="9.85546875" style="27" bestFit="1" customWidth="1"/>
    <col min="19" max="20" width="9" style="27"/>
    <col min="21" max="21" width="20.42578125" style="27" bestFit="1" customWidth="1"/>
    <col min="22" max="22" width="9.85546875" style="27" bestFit="1" customWidth="1"/>
    <col min="23" max="255" width="9" style="27"/>
    <col min="256" max="256" width="14.7109375" style="27" bestFit="1" customWidth="1"/>
    <col min="257" max="257" width="16" style="27" customWidth="1"/>
    <col min="258" max="258" width="12.85546875" style="27" bestFit="1" customWidth="1"/>
    <col min="259" max="260" width="10.140625" style="27" bestFit="1" customWidth="1"/>
    <col min="261" max="261" width="22.42578125" style="27" bestFit="1" customWidth="1"/>
    <col min="262" max="262" width="14" style="27" customWidth="1"/>
    <col min="263" max="263" width="4.85546875" style="27" bestFit="1" customWidth="1"/>
    <col min="264" max="264" width="38.42578125" style="27" bestFit="1" customWidth="1"/>
    <col min="265" max="265" width="22.7109375" style="27" bestFit="1" customWidth="1"/>
    <col min="266" max="266" width="7.85546875" style="27" bestFit="1" customWidth="1"/>
    <col min="267" max="267" width="5.85546875" style="27" bestFit="1" customWidth="1"/>
    <col min="268" max="268" width="6.140625" style="27" bestFit="1" customWidth="1"/>
    <col min="269" max="269" width="4.42578125" style="27" bestFit="1" customWidth="1"/>
    <col min="270" max="270" width="6.85546875" style="27" bestFit="1" customWidth="1"/>
    <col min="271" max="271" width="4.42578125" style="27" bestFit="1" customWidth="1"/>
    <col min="272" max="272" width="8.42578125" style="27" bestFit="1" customWidth="1"/>
    <col min="273" max="273" width="1.85546875" style="27" bestFit="1" customWidth="1"/>
    <col min="274" max="274" width="9.85546875" style="27" bestFit="1" customWidth="1"/>
    <col min="275" max="276" width="9" style="27"/>
    <col min="277" max="277" width="20.42578125" style="27" bestFit="1" customWidth="1"/>
    <col min="278" max="278" width="9.85546875" style="27" bestFit="1" customWidth="1"/>
    <col min="279" max="511" width="9" style="27"/>
    <col min="512" max="512" width="14.7109375" style="27" bestFit="1" customWidth="1"/>
    <col min="513" max="513" width="16" style="27" customWidth="1"/>
    <col min="514" max="514" width="12.85546875" style="27" bestFit="1" customWidth="1"/>
    <col min="515" max="516" width="10.140625" style="27" bestFit="1" customWidth="1"/>
    <col min="517" max="517" width="22.42578125" style="27" bestFit="1" customWidth="1"/>
    <col min="518" max="518" width="14" style="27" customWidth="1"/>
    <col min="519" max="519" width="4.85546875" style="27" bestFit="1" customWidth="1"/>
    <col min="520" max="520" width="38.42578125" style="27" bestFit="1" customWidth="1"/>
    <col min="521" max="521" width="22.7109375" style="27" bestFit="1" customWidth="1"/>
    <col min="522" max="522" width="7.85546875" style="27" bestFit="1" customWidth="1"/>
    <col min="523" max="523" width="5.85546875" style="27" bestFit="1" customWidth="1"/>
    <col min="524" max="524" width="6.140625" style="27" bestFit="1" customWidth="1"/>
    <col min="525" max="525" width="4.42578125" style="27" bestFit="1" customWidth="1"/>
    <col min="526" max="526" width="6.85546875" style="27" bestFit="1" customWidth="1"/>
    <col min="527" max="527" width="4.42578125" style="27" bestFit="1" customWidth="1"/>
    <col min="528" max="528" width="8.42578125" style="27" bestFit="1" customWidth="1"/>
    <col min="529" max="529" width="1.85546875" style="27" bestFit="1" customWidth="1"/>
    <col min="530" max="530" width="9.85546875" style="27" bestFit="1" customWidth="1"/>
    <col min="531" max="532" width="9" style="27"/>
    <col min="533" max="533" width="20.42578125" style="27" bestFit="1" customWidth="1"/>
    <col min="534" max="534" width="9.85546875" style="27" bestFit="1" customWidth="1"/>
    <col min="535" max="767" width="9" style="27"/>
    <col min="768" max="768" width="14.7109375" style="27" bestFit="1" customWidth="1"/>
    <col min="769" max="769" width="16" style="27" customWidth="1"/>
    <col min="770" max="770" width="12.85546875" style="27" bestFit="1" customWidth="1"/>
    <col min="771" max="772" width="10.140625" style="27" bestFit="1" customWidth="1"/>
    <col min="773" max="773" width="22.42578125" style="27" bestFit="1" customWidth="1"/>
    <col min="774" max="774" width="14" style="27" customWidth="1"/>
    <col min="775" max="775" width="4.85546875" style="27" bestFit="1" customWidth="1"/>
    <col min="776" max="776" width="38.42578125" style="27" bestFit="1" customWidth="1"/>
    <col min="777" max="777" width="22.7109375" style="27" bestFit="1" customWidth="1"/>
    <col min="778" max="778" width="7.85546875" style="27" bestFit="1" customWidth="1"/>
    <col min="779" max="779" width="5.85546875" style="27" bestFit="1" customWidth="1"/>
    <col min="780" max="780" width="6.140625" style="27" bestFit="1" customWidth="1"/>
    <col min="781" max="781" width="4.42578125" style="27" bestFit="1" customWidth="1"/>
    <col min="782" max="782" width="6.85546875" style="27" bestFit="1" customWidth="1"/>
    <col min="783" max="783" width="4.42578125" style="27" bestFit="1" customWidth="1"/>
    <col min="784" max="784" width="8.42578125" style="27" bestFit="1" customWidth="1"/>
    <col min="785" max="785" width="1.85546875" style="27" bestFit="1" customWidth="1"/>
    <col min="786" max="786" width="9.85546875" style="27" bestFit="1" customWidth="1"/>
    <col min="787" max="788" width="9" style="27"/>
    <col min="789" max="789" width="20.42578125" style="27" bestFit="1" customWidth="1"/>
    <col min="790" max="790" width="9.85546875" style="27" bestFit="1" customWidth="1"/>
    <col min="791" max="1023" width="9" style="27"/>
    <col min="1024" max="1024" width="14.7109375" style="27" bestFit="1" customWidth="1"/>
    <col min="1025" max="1025" width="16" style="27" customWidth="1"/>
    <col min="1026" max="1026" width="12.85546875" style="27" bestFit="1" customWidth="1"/>
    <col min="1027" max="1028" width="10.140625" style="27" bestFit="1" customWidth="1"/>
    <col min="1029" max="1029" width="22.42578125" style="27" bestFit="1" customWidth="1"/>
    <col min="1030" max="1030" width="14" style="27" customWidth="1"/>
    <col min="1031" max="1031" width="4.85546875" style="27" bestFit="1" customWidth="1"/>
    <col min="1032" max="1032" width="38.42578125" style="27" bestFit="1" customWidth="1"/>
    <col min="1033" max="1033" width="22.7109375" style="27" bestFit="1" customWidth="1"/>
    <col min="1034" max="1034" width="7.85546875" style="27" bestFit="1" customWidth="1"/>
    <col min="1035" max="1035" width="5.85546875" style="27" bestFit="1" customWidth="1"/>
    <col min="1036" max="1036" width="6.140625" style="27" bestFit="1" customWidth="1"/>
    <col min="1037" max="1037" width="4.42578125" style="27" bestFit="1" customWidth="1"/>
    <col min="1038" max="1038" width="6.85546875" style="27" bestFit="1" customWidth="1"/>
    <col min="1039" max="1039" width="4.42578125" style="27" bestFit="1" customWidth="1"/>
    <col min="1040" max="1040" width="8.42578125" style="27" bestFit="1" customWidth="1"/>
    <col min="1041" max="1041" width="1.85546875" style="27" bestFit="1" customWidth="1"/>
    <col min="1042" max="1042" width="9.85546875" style="27" bestFit="1" customWidth="1"/>
    <col min="1043" max="1044" width="9" style="27"/>
    <col min="1045" max="1045" width="20.42578125" style="27" bestFit="1" customWidth="1"/>
    <col min="1046" max="1046" width="9.85546875" style="27" bestFit="1" customWidth="1"/>
    <col min="1047" max="1279" width="9" style="27"/>
    <col min="1280" max="1280" width="14.7109375" style="27" bestFit="1" customWidth="1"/>
    <col min="1281" max="1281" width="16" style="27" customWidth="1"/>
    <col min="1282" max="1282" width="12.85546875" style="27" bestFit="1" customWidth="1"/>
    <col min="1283" max="1284" width="10.140625" style="27" bestFit="1" customWidth="1"/>
    <col min="1285" max="1285" width="22.42578125" style="27" bestFit="1" customWidth="1"/>
    <col min="1286" max="1286" width="14" style="27" customWidth="1"/>
    <col min="1287" max="1287" width="4.85546875" style="27" bestFit="1" customWidth="1"/>
    <col min="1288" max="1288" width="38.42578125" style="27" bestFit="1" customWidth="1"/>
    <col min="1289" max="1289" width="22.7109375" style="27" bestFit="1" customWidth="1"/>
    <col min="1290" max="1290" width="7.85546875" style="27" bestFit="1" customWidth="1"/>
    <col min="1291" max="1291" width="5.85546875" style="27" bestFit="1" customWidth="1"/>
    <col min="1292" max="1292" width="6.140625" style="27" bestFit="1" customWidth="1"/>
    <col min="1293" max="1293" width="4.42578125" style="27" bestFit="1" customWidth="1"/>
    <col min="1294" max="1294" width="6.85546875" style="27" bestFit="1" customWidth="1"/>
    <col min="1295" max="1295" width="4.42578125" style="27" bestFit="1" customWidth="1"/>
    <col min="1296" max="1296" width="8.42578125" style="27" bestFit="1" customWidth="1"/>
    <col min="1297" max="1297" width="1.85546875" style="27" bestFit="1" customWidth="1"/>
    <col min="1298" max="1298" width="9.85546875" style="27" bestFit="1" customWidth="1"/>
    <col min="1299" max="1300" width="9" style="27"/>
    <col min="1301" max="1301" width="20.42578125" style="27" bestFit="1" customWidth="1"/>
    <col min="1302" max="1302" width="9.85546875" style="27" bestFit="1" customWidth="1"/>
    <col min="1303" max="1535" width="9" style="27"/>
    <col min="1536" max="1536" width="14.7109375" style="27" bestFit="1" customWidth="1"/>
    <col min="1537" max="1537" width="16" style="27" customWidth="1"/>
    <col min="1538" max="1538" width="12.85546875" style="27" bestFit="1" customWidth="1"/>
    <col min="1539" max="1540" width="10.140625" style="27" bestFit="1" customWidth="1"/>
    <col min="1541" max="1541" width="22.42578125" style="27" bestFit="1" customWidth="1"/>
    <col min="1542" max="1542" width="14" style="27" customWidth="1"/>
    <col min="1543" max="1543" width="4.85546875" style="27" bestFit="1" customWidth="1"/>
    <col min="1544" max="1544" width="38.42578125" style="27" bestFit="1" customWidth="1"/>
    <col min="1545" max="1545" width="22.7109375" style="27" bestFit="1" customWidth="1"/>
    <col min="1546" max="1546" width="7.85546875" style="27" bestFit="1" customWidth="1"/>
    <col min="1547" max="1547" width="5.85546875" style="27" bestFit="1" customWidth="1"/>
    <col min="1548" max="1548" width="6.140625" style="27" bestFit="1" customWidth="1"/>
    <col min="1549" max="1549" width="4.42578125" style="27" bestFit="1" customWidth="1"/>
    <col min="1550" max="1550" width="6.85546875" style="27" bestFit="1" customWidth="1"/>
    <col min="1551" max="1551" width="4.42578125" style="27" bestFit="1" customWidth="1"/>
    <col min="1552" max="1552" width="8.42578125" style="27" bestFit="1" customWidth="1"/>
    <col min="1553" max="1553" width="1.85546875" style="27" bestFit="1" customWidth="1"/>
    <col min="1554" max="1554" width="9.85546875" style="27" bestFit="1" customWidth="1"/>
    <col min="1555" max="1556" width="9" style="27"/>
    <col min="1557" max="1557" width="20.42578125" style="27" bestFit="1" customWidth="1"/>
    <col min="1558" max="1558" width="9.85546875" style="27" bestFit="1" customWidth="1"/>
    <col min="1559" max="1791" width="9" style="27"/>
    <col min="1792" max="1792" width="14.7109375" style="27" bestFit="1" customWidth="1"/>
    <col min="1793" max="1793" width="16" style="27" customWidth="1"/>
    <col min="1794" max="1794" width="12.85546875" style="27" bestFit="1" customWidth="1"/>
    <col min="1795" max="1796" width="10.140625" style="27" bestFit="1" customWidth="1"/>
    <col min="1797" max="1797" width="22.42578125" style="27" bestFit="1" customWidth="1"/>
    <col min="1798" max="1798" width="14" style="27" customWidth="1"/>
    <col min="1799" max="1799" width="4.85546875" style="27" bestFit="1" customWidth="1"/>
    <col min="1800" max="1800" width="38.42578125" style="27" bestFit="1" customWidth="1"/>
    <col min="1801" max="1801" width="22.7109375" style="27" bestFit="1" customWidth="1"/>
    <col min="1802" max="1802" width="7.85546875" style="27" bestFit="1" customWidth="1"/>
    <col min="1803" max="1803" width="5.85546875" style="27" bestFit="1" customWidth="1"/>
    <col min="1804" max="1804" width="6.140625" style="27" bestFit="1" customWidth="1"/>
    <col min="1805" max="1805" width="4.42578125" style="27" bestFit="1" customWidth="1"/>
    <col min="1806" max="1806" width="6.85546875" style="27" bestFit="1" customWidth="1"/>
    <col min="1807" max="1807" width="4.42578125" style="27" bestFit="1" customWidth="1"/>
    <col min="1808" max="1808" width="8.42578125" style="27" bestFit="1" customWidth="1"/>
    <col min="1809" max="1809" width="1.85546875" style="27" bestFit="1" customWidth="1"/>
    <col min="1810" max="1810" width="9.85546875" style="27" bestFit="1" customWidth="1"/>
    <col min="1811" max="1812" width="9" style="27"/>
    <col min="1813" max="1813" width="20.42578125" style="27" bestFit="1" customWidth="1"/>
    <col min="1814" max="1814" width="9.85546875" style="27" bestFit="1" customWidth="1"/>
    <col min="1815" max="2047" width="9" style="27"/>
    <col min="2048" max="2048" width="14.7109375" style="27" bestFit="1" customWidth="1"/>
    <col min="2049" max="2049" width="16" style="27" customWidth="1"/>
    <col min="2050" max="2050" width="12.85546875" style="27" bestFit="1" customWidth="1"/>
    <col min="2051" max="2052" width="10.140625" style="27" bestFit="1" customWidth="1"/>
    <col min="2053" max="2053" width="22.42578125" style="27" bestFit="1" customWidth="1"/>
    <col min="2054" max="2054" width="14" style="27" customWidth="1"/>
    <col min="2055" max="2055" width="4.85546875" style="27" bestFit="1" customWidth="1"/>
    <col min="2056" max="2056" width="38.42578125" style="27" bestFit="1" customWidth="1"/>
    <col min="2057" max="2057" width="22.7109375" style="27" bestFit="1" customWidth="1"/>
    <col min="2058" max="2058" width="7.85546875" style="27" bestFit="1" customWidth="1"/>
    <col min="2059" max="2059" width="5.85546875" style="27" bestFit="1" customWidth="1"/>
    <col min="2060" max="2060" width="6.140625" style="27" bestFit="1" customWidth="1"/>
    <col min="2061" max="2061" width="4.42578125" style="27" bestFit="1" customWidth="1"/>
    <col min="2062" max="2062" width="6.85546875" style="27" bestFit="1" customWidth="1"/>
    <col min="2063" max="2063" width="4.42578125" style="27" bestFit="1" customWidth="1"/>
    <col min="2064" max="2064" width="8.42578125" style="27" bestFit="1" customWidth="1"/>
    <col min="2065" max="2065" width="1.85546875" style="27" bestFit="1" customWidth="1"/>
    <col min="2066" max="2066" width="9.85546875" style="27" bestFit="1" customWidth="1"/>
    <col min="2067" max="2068" width="9" style="27"/>
    <col min="2069" max="2069" width="20.42578125" style="27" bestFit="1" customWidth="1"/>
    <col min="2070" max="2070" width="9.85546875" style="27" bestFit="1" customWidth="1"/>
    <col min="2071" max="2303" width="9" style="27"/>
    <col min="2304" max="2304" width="14.7109375" style="27" bestFit="1" customWidth="1"/>
    <col min="2305" max="2305" width="16" style="27" customWidth="1"/>
    <col min="2306" max="2306" width="12.85546875" style="27" bestFit="1" customWidth="1"/>
    <col min="2307" max="2308" width="10.140625" style="27" bestFit="1" customWidth="1"/>
    <col min="2309" max="2309" width="22.42578125" style="27" bestFit="1" customWidth="1"/>
    <col min="2310" max="2310" width="14" style="27" customWidth="1"/>
    <col min="2311" max="2311" width="4.85546875" style="27" bestFit="1" customWidth="1"/>
    <col min="2312" max="2312" width="38.42578125" style="27" bestFit="1" customWidth="1"/>
    <col min="2313" max="2313" width="22.7109375" style="27" bestFit="1" customWidth="1"/>
    <col min="2314" max="2314" width="7.85546875" style="27" bestFit="1" customWidth="1"/>
    <col min="2315" max="2315" width="5.85546875" style="27" bestFit="1" customWidth="1"/>
    <col min="2316" max="2316" width="6.140625" style="27" bestFit="1" customWidth="1"/>
    <col min="2317" max="2317" width="4.42578125" style="27" bestFit="1" customWidth="1"/>
    <col min="2318" max="2318" width="6.85546875" style="27" bestFit="1" customWidth="1"/>
    <col min="2319" max="2319" width="4.42578125" style="27" bestFit="1" customWidth="1"/>
    <col min="2320" max="2320" width="8.42578125" style="27" bestFit="1" customWidth="1"/>
    <col min="2321" max="2321" width="1.85546875" style="27" bestFit="1" customWidth="1"/>
    <col min="2322" max="2322" width="9.85546875" style="27" bestFit="1" customWidth="1"/>
    <col min="2323" max="2324" width="9" style="27"/>
    <col min="2325" max="2325" width="20.42578125" style="27" bestFit="1" customWidth="1"/>
    <col min="2326" max="2326" width="9.85546875" style="27" bestFit="1" customWidth="1"/>
    <col min="2327" max="2559" width="9" style="27"/>
    <col min="2560" max="2560" width="14.7109375" style="27" bestFit="1" customWidth="1"/>
    <col min="2561" max="2561" width="16" style="27" customWidth="1"/>
    <col min="2562" max="2562" width="12.85546875" style="27" bestFit="1" customWidth="1"/>
    <col min="2563" max="2564" width="10.140625" style="27" bestFit="1" customWidth="1"/>
    <col min="2565" max="2565" width="22.42578125" style="27" bestFit="1" customWidth="1"/>
    <col min="2566" max="2566" width="14" style="27" customWidth="1"/>
    <col min="2567" max="2567" width="4.85546875" style="27" bestFit="1" customWidth="1"/>
    <col min="2568" max="2568" width="38.42578125" style="27" bestFit="1" customWidth="1"/>
    <col min="2569" max="2569" width="22.7109375" style="27" bestFit="1" customWidth="1"/>
    <col min="2570" max="2570" width="7.85546875" style="27" bestFit="1" customWidth="1"/>
    <col min="2571" max="2571" width="5.85546875" style="27" bestFit="1" customWidth="1"/>
    <col min="2572" max="2572" width="6.140625" style="27" bestFit="1" customWidth="1"/>
    <col min="2573" max="2573" width="4.42578125" style="27" bestFit="1" customWidth="1"/>
    <col min="2574" max="2574" width="6.85546875" style="27" bestFit="1" customWidth="1"/>
    <col min="2575" max="2575" width="4.42578125" style="27" bestFit="1" customWidth="1"/>
    <col min="2576" max="2576" width="8.42578125" style="27" bestFit="1" customWidth="1"/>
    <col min="2577" max="2577" width="1.85546875" style="27" bestFit="1" customWidth="1"/>
    <col min="2578" max="2578" width="9.85546875" style="27" bestFit="1" customWidth="1"/>
    <col min="2579" max="2580" width="9" style="27"/>
    <col min="2581" max="2581" width="20.42578125" style="27" bestFit="1" customWidth="1"/>
    <col min="2582" max="2582" width="9.85546875" style="27" bestFit="1" customWidth="1"/>
    <col min="2583" max="2815" width="9" style="27"/>
    <col min="2816" max="2816" width="14.7109375" style="27" bestFit="1" customWidth="1"/>
    <col min="2817" max="2817" width="16" style="27" customWidth="1"/>
    <col min="2818" max="2818" width="12.85546875" style="27" bestFit="1" customWidth="1"/>
    <col min="2819" max="2820" width="10.140625" style="27" bestFit="1" customWidth="1"/>
    <col min="2821" max="2821" width="22.42578125" style="27" bestFit="1" customWidth="1"/>
    <col min="2822" max="2822" width="14" style="27" customWidth="1"/>
    <col min="2823" max="2823" width="4.85546875" style="27" bestFit="1" customWidth="1"/>
    <col min="2824" max="2824" width="38.42578125" style="27" bestFit="1" customWidth="1"/>
    <col min="2825" max="2825" width="22.7109375" style="27" bestFit="1" customWidth="1"/>
    <col min="2826" max="2826" width="7.85546875" style="27" bestFit="1" customWidth="1"/>
    <col min="2827" max="2827" width="5.85546875" style="27" bestFit="1" customWidth="1"/>
    <col min="2828" max="2828" width="6.140625" style="27" bestFit="1" customWidth="1"/>
    <col min="2829" max="2829" width="4.42578125" style="27" bestFit="1" customWidth="1"/>
    <col min="2830" max="2830" width="6.85546875" style="27" bestFit="1" customWidth="1"/>
    <col min="2831" max="2831" width="4.42578125" style="27" bestFit="1" customWidth="1"/>
    <col min="2832" max="2832" width="8.42578125" style="27" bestFit="1" customWidth="1"/>
    <col min="2833" max="2833" width="1.85546875" style="27" bestFit="1" customWidth="1"/>
    <col min="2834" max="2834" width="9.85546875" style="27" bestFit="1" customWidth="1"/>
    <col min="2835" max="2836" width="9" style="27"/>
    <col min="2837" max="2837" width="20.42578125" style="27" bestFit="1" customWidth="1"/>
    <col min="2838" max="2838" width="9.85546875" style="27" bestFit="1" customWidth="1"/>
    <col min="2839" max="3071" width="9" style="27"/>
    <col min="3072" max="3072" width="14.7109375" style="27" bestFit="1" customWidth="1"/>
    <col min="3073" max="3073" width="16" style="27" customWidth="1"/>
    <col min="3074" max="3074" width="12.85546875" style="27" bestFit="1" customWidth="1"/>
    <col min="3075" max="3076" width="10.140625" style="27" bestFit="1" customWidth="1"/>
    <col min="3077" max="3077" width="22.42578125" style="27" bestFit="1" customWidth="1"/>
    <col min="3078" max="3078" width="14" style="27" customWidth="1"/>
    <col min="3079" max="3079" width="4.85546875" style="27" bestFit="1" customWidth="1"/>
    <col min="3080" max="3080" width="38.42578125" style="27" bestFit="1" customWidth="1"/>
    <col min="3081" max="3081" width="22.7109375" style="27" bestFit="1" customWidth="1"/>
    <col min="3082" max="3082" width="7.85546875" style="27" bestFit="1" customWidth="1"/>
    <col min="3083" max="3083" width="5.85546875" style="27" bestFit="1" customWidth="1"/>
    <col min="3084" max="3084" width="6.140625" style="27" bestFit="1" customWidth="1"/>
    <col min="3085" max="3085" width="4.42578125" style="27" bestFit="1" customWidth="1"/>
    <col min="3086" max="3086" width="6.85546875" style="27" bestFit="1" customWidth="1"/>
    <col min="3087" max="3087" width="4.42578125" style="27" bestFit="1" customWidth="1"/>
    <col min="3088" max="3088" width="8.42578125" style="27" bestFit="1" customWidth="1"/>
    <col min="3089" max="3089" width="1.85546875" style="27" bestFit="1" customWidth="1"/>
    <col min="3090" max="3090" width="9.85546875" style="27" bestFit="1" customWidth="1"/>
    <col min="3091" max="3092" width="9" style="27"/>
    <col min="3093" max="3093" width="20.42578125" style="27" bestFit="1" customWidth="1"/>
    <col min="3094" max="3094" width="9.85546875" style="27" bestFit="1" customWidth="1"/>
    <col min="3095" max="3327" width="9" style="27"/>
    <col min="3328" max="3328" width="14.7109375" style="27" bestFit="1" customWidth="1"/>
    <col min="3329" max="3329" width="16" style="27" customWidth="1"/>
    <col min="3330" max="3330" width="12.85546875" style="27" bestFit="1" customWidth="1"/>
    <col min="3331" max="3332" width="10.140625" style="27" bestFit="1" customWidth="1"/>
    <col min="3333" max="3333" width="22.42578125" style="27" bestFit="1" customWidth="1"/>
    <col min="3334" max="3334" width="14" style="27" customWidth="1"/>
    <col min="3335" max="3335" width="4.85546875" style="27" bestFit="1" customWidth="1"/>
    <col min="3336" max="3336" width="38.42578125" style="27" bestFit="1" customWidth="1"/>
    <col min="3337" max="3337" width="22.7109375" style="27" bestFit="1" customWidth="1"/>
    <col min="3338" max="3338" width="7.85546875" style="27" bestFit="1" customWidth="1"/>
    <col min="3339" max="3339" width="5.85546875" style="27" bestFit="1" customWidth="1"/>
    <col min="3340" max="3340" width="6.140625" style="27" bestFit="1" customWidth="1"/>
    <col min="3341" max="3341" width="4.42578125" style="27" bestFit="1" customWidth="1"/>
    <col min="3342" max="3342" width="6.85546875" style="27" bestFit="1" customWidth="1"/>
    <col min="3343" max="3343" width="4.42578125" style="27" bestFit="1" customWidth="1"/>
    <col min="3344" max="3344" width="8.42578125" style="27" bestFit="1" customWidth="1"/>
    <col min="3345" max="3345" width="1.85546875" style="27" bestFit="1" customWidth="1"/>
    <col min="3346" max="3346" width="9.85546875" style="27" bestFit="1" customWidth="1"/>
    <col min="3347" max="3348" width="9" style="27"/>
    <col min="3349" max="3349" width="20.42578125" style="27" bestFit="1" customWidth="1"/>
    <col min="3350" max="3350" width="9.85546875" style="27" bestFit="1" customWidth="1"/>
    <col min="3351" max="3583" width="9" style="27"/>
    <col min="3584" max="3584" width="14.7109375" style="27" bestFit="1" customWidth="1"/>
    <col min="3585" max="3585" width="16" style="27" customWidth="1"/>
    <col min="3586" max="3586" width="12.85546875" style="27" bestFit="1" customWidth="1"/>
    <col min="3587" max="3588" width="10.140625" style="27" bestFit="1" customWidth="1"/>
    <col min="3589" max="3589" width="22.42578125" style="27" bestFit="1" customWidth="1"/>
    <col min="3590" max="3590" width="14" style="27" customWidth="1"/>
    <col min="3591" max="3591" width="4.85546875" style="27" bestFit="1" customWidth="1"/>
    <col min="3592" max="3592" width="38.42578125" style="27" bestFit="1" customWidth="1"/>
    <col min="3593" max="3593" width="22.7109375" style="27" bestFit="1" customWidth="1"/>
    <col min="3594" max="3594" width="7.85546875" style="27" bestFit="1" customWidth="1"/>
    <col min="3595" max="3595" width="5.85546875" style="27" bestFit="1" customWidth="1"/>
    <col min="3596" max="3596" width="6.140625" style="27" bestFit="1" customWidth="1"/>
    <col min="3597" max="3597" width="4.42578125" style="27" bestFit="1" customWidth="1"/>
    <col min="3598" max="3598" width="6.85546875" style="27" bestFit="1" customWidth="1"/>
    <col min="3599" max="3599" width="4.42578125" style="27" bestFit="1" customWidth="1"/>
    <col min="3600" max="3600" width="8.42578125" style="27" bestFit="1" customWidth="1"/>
    <col min="3601" max="3601" width="1.85546875" style="27" bestFit="1" customWidth="1"/>
    <col min="3602" max="3602" width="9.85546875" style="27" bestFit="1" customWidth="1"/>
    <col min="3603" max="3604" width="9" style="27"/>
    <col min="3605" max="3605" width="20.42578125" style="27" bestFit="1" customWidth="1"/>
    <col min="3606" max="3606" width="9.85546875" style="27" bestFit="1" customWidth="1"/>
    <col min="3607" max="3839" width="9" style="27"/>
    <col min="3840" max="3840" width="14.7109375" style="27" bestFit="1" customWidth="1"/>
    <col min="3841" max="3841" width="16" style="27" customWidth="1"/>
    <col min="3842" max="3842" width="12.85546875" style="27" bestFit="1" customWidth="1"/>
    <col min="3843" max="3844" width="10.140625" style="27" bestFit="1" customWidth="1"/>
    <col min="3845" max="3845" width="22.42578125" style="27" bestFit="1" customWidth="1"/>
    <col min="3846" max="3846" width="14" style="27" customWidth="1"/>
    <col min="3847" max="3847" width="4.85546875" style="27" bestFit="1" customWidth="1"/>
    <col min="3848" max="3848" width="38.42578125" style="27" bestFit="1" customWidth="1"/>
    <col min="3849" max="3849" width="22.7109375" style="27" bestFit="1" customWidth="1"/>
    <col min="3850" max="3850" width="7.85546875" style="27" bestFit="1" customWidth="1"/>
    <col min="3851" max="3851" width="5.85546875" style="27" bestFit="1" customWidth="1"/>
    <col min="3852" max="3852" width="6.140625" style="27" bestFit="1" customWidth="1"/>
    <col min="3853" max="3853" width="4.42578125" style="27" bestFit="1" customWidth="1"/>
    <col min="3854" max="3854" width="6.85546875" style="27" bestFit="1" customWidth="1"/>
    <col min="3855" max="3855" width="4.42578125" style="27" bestFit="1" customWidth="1"/>
    <col min="3856" max="3856" width="8.42578125" style="27" bestFit="1" customWidth="1"/>
    <col min="3857" max="3857" width="1.85546875" style="27" bestFit="1" customWidth="1"/>
    <col min="3858" max="3858" width="9.85546875" style="27" bestFit="1" customWidth="1"/>
    <col min="3859" max="3860" width="9" style="27"/>
    <col min="3861" max="3861" width="20.42578125" style="27" bestFit="1" customWidth="1"/>
    <col min="3862" max="3862" width="9.85546875" style="27" bestFit="1" customWidth="1"/>
    <col min="3863" max="4095" width="9" style="27"/>
    <col min="4096" max="4096" width="14.7109375" style="27" bestFit="1" customWidth="1"/>
    <col min="4097" max="4097" width="16" style="27" customWidth="1"/>
    <col min="4098" max="4098" width="12.85546875" style="27" bestFit="1" customWidth="1"/>
    <col min="4099" max="4100" width="10.140625" style="27" bestFit="1" customWidth="1"/>
    <col min="4101" max="4101" width="22.42578125" style="27" bestFit="1" customWidth="1"/>
    <col min="4102" max="4102" width="14" style="27" customWidth="1"/>
    <col min="4103" max="4103" width="4.85546875" style="27" bestFit="1" customWidth="1"/>
    <col min="4104" max="4104" width="38.42578125" style="27" bestFit="1" customWidth="1"/>
    <col min="4105" max="4105" width="22.7109375" style="27" bestFit="1" customWidth="1"/>
    <col min="4106" max="4106" width="7.85546875" style="27" bestFit="1" customWidth="1"/>
    <col min="4107" max="4107" width="5.85546875" style="27" bestFit="1" customWidth="1"/>
    <col min="4108" max="4108" width="6.140625" style="27" bestFit="1" customWidth="1"/>
    <col min="4109" max="4109" width="4.42578125" style="27" bestFit="1" customWidth="1"/>
    <col min="4110" max="4110" width="6.85546875" style="27" bestFit="1" customWidth="1"/>
    <col min="4111" max="4111" width="4.42578125" style="27" bestFit="1" customWidth="1"/>
    <col min="4112" max="4112" width="8.42578125" style="27" bestFit="1" customWidth="1"/>
    <col min="4113" max="4113" width="1.85546875" style="27" bestFit="1" customWidth="1"/>
    <col min="4114" max="4114" width="9.85546875" style="27" bestFit="1" customWidth="1"/>
    <col min="4115" max="4116" width="9" style="27"/>
    <col min="4117" max="4117" width="20.42578125" style="27" bestFit="1" customWidth="1"/>
    <col min="4118" max="4118" width="9.85546875" style="27" bestFit="1" customWidth="1"/>
    <col min="4119" max="4351" width="9" style="27"/>
    <col min="4352" max="4352" width="14.7109375" style="27" bestFit="1" customWidth="1"/>
    <col min="4353" max="4353" width="16" style="27" customWidth="1"/>
    <col min="4354" max="4354" width="12.85546875" style="27" bestFit="1" customWidth="1"/>
    <col min="4355" max="4356" width="10.140625" style="27" bestFit="1" customWidth="1"/>
    <col min="4357" max="4357" width="22.42578125" style="27" bestFit="1" customWidth="1"/>
    <col min="4358" max="4358" width="14" style="27" customWidth="1"/>
    <col min="4359" max="4359" width="4.85546875" style="27" bestFit="1" customWidth="1"/>
    <col min="4360" max="4360" width="38.42578125" style="27" bestFit="1" customWidth="1"/>
    <col min="4361" max="4361" width="22.7109375" style="27" bestFit="1" customWidth="1"/>
    <col min="4362" max="4362" width="7.85546875" style="27" bestFit="1" customWidth="1"/>
    <col min="4363" max="4363" width="5.85546875" style="27" bestFit="1" customWidth="1"/>
    <col min="4364" max="4364" width="6.140625" style="27" bestFit="1" customWidth="1"/>
    <col min="4365" max="4365" width="4.42578125" style="27" bestFit="1" customWidth="1"/>
    <col min="4366" max="4366" width="6.85546875" style="27" bestFit="1" customWidth="1"/>
    <col min="4367" max="4367" width="4.42578125" style="27" bestFit="1" customWidth="1"/>
    <col min="4368" max="4368" width="8.42578125" style="27" bestFit="1" customWidth="1"/>
    <col min="4369" max="4369" width="1.85546875" style="27" bestFit="1" customWidth="1"/>
    <col min="4370" max="4370" width="9.85546875" style="27" bestFit="1" customWidth="1"/>
    <col min="4371" max="4372" width="9" style="27"/>
    <col min="4373" max="4373" width="20.42578125" style="27" bestFit="1" customWidth="1"/>
    <col min="4374" max="4374" width="9.85546875" style="27" bestFit="1" customWidth="1"/>
    <col min="4375" max="4607" width="9" style="27"/>
    <col min="4608" max="4608" width="14.7109375" style="27" bestFit="1" customWidth="1"/>
    <col min="4609" max="4609" width="16" style="27" customWidth="1"/>
    <col min="4610" max="4610" width="12.85546875" style="27" bestFit="1" customWidth="1"/>
    <col min="4611" max="4612" width="10.140625" style="27" bestFit="1" customWidth="1"/>
    <col min="4613" max="4613" width="22.42578125" style="27" bestFit="1" customWidth="1"/>
    <col min="4614" max="4614" width="14" style="27" customWidth="1"/>
    <col min="4615" max="4615" width="4.85546875" style="27" bestFit="1" customWidth="1"/>
    <col min="4616" max="4616" width="38.42578125" style="27" bestFit="1" customWidth="1"/>
    <col min="4617" max="4617" width="22.7109375" style="27" bestFit="1" customWidth="1"/>
    <col min="4618" max="4618" width="7.85546875" style="27" bestFit="1" customWidth="1"/>
    <col min="4619" max="4619" width="5.85546875" style="27" bestFit="1" customWidth="1"/>
    <col min="4620" max="4620" width="6.140625" style="27" bestFit="1" customWidth="1"/>
    <col min="4621" max="4621" width="4.42578125" style="27" bestFit="1" customWidth="1"/>
    <col min="4622" max="4622" width="6.85546875" style="27" bestFit="1" customWidth="1"/>
    <col min="4623" max="4623" width="4.42578125" style="27" bestFit="1" customWidth="1"/>
    <col min="4624" max="4624" width="8.42578125" style="27" bestFit="1" customWidth="1"/>
    <col min="4625" max="4625" width="1.85546875" style="27" bestFit="1" customWidth="1"/>
    <col min="4626" max="4626" width="9.85546875" style="27" bestFit="1" customWidth="1"/>
    <col min="4627" max="4628" width="9" style="27"/>
    <col min="4629" max="4629" width="20.42578125" style="27" bestFit="1" customWidth="1"/>
    <col min="4630" max="4630" width="9.85546875" style="27" bestFit="1" customWidth="1"/>
    <col min="4631" max="4863" width="9" style="27"/>
    <col min="4864" max="4864" width="14.7109375" style="27" bestFit="1" customWidth="1"/>
    <col min="4865" max="4865" width="16" style="27" customWidth="1"/>
    <col min="4866" max="4866" width="12.85546875" style="27" bestFit="1" customWidth="1"/>
    <col min="4867" max="4868" width="10.140625" style="27" bestFit="1" customWidth="1"/>
    <col min="4869" max="4869" width="22.42578125" style="27" bestFit="1" customWidth="1"/>
    <col min="4870" max="4870" width="14" style="27" customWidth="1"/>
    <col min="4871" max="4871" width="4.85546875" style="27" bestFit="1" customWidth="1"/>
    <col min="4872" max="4872" width="38.42578125" style="27" bestFit="1" customWidth="1"/>
    <col min="4873" max="4873" width="22.7109375" style="27" bestFit="1" customWidth="1"/>
    <col min="4874" max="4874" width="7.85546875" style="27" bestFit="1" customWidth="1"/>
    <col min="4875" max="4875" width="5.85546875" style="27" bestFit="1" customWidth="1"/>
    <col min="4876" max="4876" width="6.140625" style="27" bestFit="1" customWidth="1"/>
    <col min="4877" max="4877" width="4.42578125" style="27" bestFit="1" customWidth="1"/>
    <col min="4878" max="4878" width="6.85546875" style="27" bestFit="1" customWidth="1"/>
    <col min="4879" max="4879" width="4.42578125" style="27" bestFit="1" customWidth="1"/>
    <col min="4880" max="4880" width="8.42578125" style="27" bestFit="1" customWidth="1"/>
    <col min="4881" max="4881" width="1.85546875" style="27" bestFit="1" customWidth="1"/>
    <col min="4882" max="4882" width="9.85546875" style="27" bestFit="1" customWidth="1"/>
    <col min="4883" max="4884" width="9" style="27"/>
    <col min="4885" max="4885" width="20.42578125" style="27" bestFit="1" customWidth="1"/>
    <col min="4886" max="4886" width="9.85546875" style="27" bestFit="1" customWidth="1"/>
    <col min="4887" max="5119" width="9" style="27"/>
    <col min="5120" max="5120" width="14.7109375" style="27" bestFit="1" customWidth="1"/>
    <col min="5121" max="5121" width="16" style="27" customWidth="1"/>
    <col min="5122" max="5122" width="12.85546875" style="27" bestFit="1" customWidth="1"/>
    <col min="5123" max="5124" width="10.140625" style="27" bestFit="1" customWidth="1"/>
    <col min="5125" max="5125" width="22.42578125" style="27" bestFit="1" customWidth="1"/>
    <col min="5126" max="5126" width="14" style="27" customWidth="1"/>
    <col min="5127" max="5127" width="4.85546875" style="27" bestFit="1" customWidth="1"/>
    <col min="5128" max="5128" width="38.42578125" style="27" bestFit="1" customWidth="1"/>
    <col min="5129" max="5129" width="22.7109375" style="27" bestFit="1" customWidth="1"/>
    <col min="5130" max="5130" width="7.85546875" style="27" bestFit="1" customWidth="1"/>
    <col min="5131" max="5131" width="5.85546875" style="27" bestFit="1" customWidth="1"/>
    <col min="5132" max="5132" width="6.140625" style="27" bestFit="1" customWidth="1"/>
    <col min="5133" max="5133" width="4.42578125" style="27" bestFit="1" customWidth="1"/>
    <col min="5134" max="5134" width="6.85546875" style="27" bestFit="1" customWidth="1"/>
    <col min="5135" max="5135" width="4.42578125" style="27" bestFit="1" customWidth="1"/>
    <col min="5136" max="5136" width="8.42578125" style="27" bestFit="1" customWidth="1"/>
    <col min="5137" max="5137" width="1.85546875" style="27" bestFit="1" customWidth="1"/>
    <col min="5138" max="5138" width="9.85546875" style="27" bestFit="1" customWidth="1"/>
    <col min="5139" max="5140" width="9" style="27"/>
    <col min="5141" max="5141" width="20.42578125" style="27" bestFit="1" customWidth="1"/>
    <col min="5142" max="5142" width="9.85546875" style="27" bestFit="1" customWidth="1"/>
    <col min="5143" max="5375" width="9" style="27"/>
    <col min="5376" max="5376" width="14.7109375" style="27" bestFit="1" customWidth="1"/>
    <col min="5377" max="5377" width="16" style="27" customWidth="1"/>
    <col min="5378" max="5378" width="12.85546875" style="27" bestFit="1" customWidth="1"/>
    <col min="5379" max="5380" width="10.140625" style="27" bestFit="1" customWidth="1"/>
    <col min="5381" max="5381" width="22.42578125" style="27" bestFit="1" customWidth="1"/>
    <col min="5382" max="5382" width="14" style="27" customWidth="1"/>
    <col min="5383" max="5383" width="4.85546875" style="27" bestFit="1" customWidth="1"/>
    <col min="5384" max="5384" width="38.42578125" style="27" bestFit="1" customWidth="1"/>
    <col min="5385" max="5385" width="22.7109375" style="27" bestFit="1" customWidth="1"/>
    <col min="5386" max="5386" width="7.85546875" style="27" bestFit="1" customWidth="1"/>
    <col min="5387" max="5387" width="5.85546875" style="27" bestFit="1" customWidth="1"/>
    <col min="5388" max="5388" width="6.140625" style="27" bestFit="1" customWidth="1"/>
    <col min="5389" max="5389" width="4.42578125" style="27" bestFit="1" customWidth="1"/>
    <col min="5390" max="5390" width="6.85546875" style="27" bestFit="1" customWidth="1"/>
    <col min="5391" max="5391" width="4.42578125" style="27" bestFit="1" customWidth="1"/>
    <col min="5392" max="5392" width="8.42578125" style="27" bestFit="1" customWidth="1"/>
    <col min="5393" max="5393" width="1.85546875" style="27" bestFit="1" customWidth="1"/>
    <col min="5394" max="5394" width="9.85546875" style="27" bestFit="1" customWidth="1"/>
    <col min="5395" max="5396" width="9" style="27"/>
    <col min="5397" max="5397" width="20.42578125" style="27" bestFit="1" customWidth="1"/>
    <col min="5398" max="5398" width="9.85546875" style="27" bestFit="1" customWidth="1"/>
    <col min="5399" max="5631" width="9" style="27"/>
    <col min="5632" max="5632" width="14.7109375" style="27" bestFit="1" customWidth="1"/>
    <col min="5633" max="5633" width="16" style="27" customWidth="1"/>
    <col min="5634" max="5634" width="12.85546875" style="27" bestFit="1" customWidth="1"/>
    <col min="5635" max="5636" width="10.140625" style="27" bestFit="1" customWidth="1"/>
    <col min="5637" max="5637" width="22.42578125" style="27" bestFit="1" customWidth="1"/>
    <col min="5638" max="5638" width="14" style="27" customWidth="1"/>
    <col min="5639" max="5639" width="4.85546875" style="27" bestFit="1" customWidth="1"/>
    <col min="5640" max="5640" width="38.42578125" style="27" bestFit="1" customWidth="1"/>
    <col min="5641" max="5641" width="22.7109375" style="27" bestFit="1" customWidth="1"/>
    <col min="5642" max="5642" width="7.85546875" style="27" bestFit="1" customWidth="1"/>
    <col min="5643" max="5643" width="5.85546875" style="27" bestFit="1" customWidth="1"/>
    <col min="5644" max="5644" width="6.140625" style="27" bestFit="1" customWidth="1"/>
    <col min="5645" max="5645" width="4.42578125" style="27" bestFit="1" customWidth="1"/>
    <col min="5646" max="5646" width="6.85546875" style="27" bestFit="1" customWidth="1"/>
    <col min="5647" max="5647" width="4.42578125" style="27" bestFit="1" customWidth="1"/>
    <col min="5648" max="5648" width="8.42578125" style="27" bestFit="1" customWidth="1"/>
    <col min="5649" max="5649" width="1.85546875" style="27" bestFit="1" customWidth="1"/>
    <col min="5650" max="5650" width="9.85546875" style="27" bestFit="1" customWidth="1"/>
    <col min="5651" max="5652" width="9" style="27"/>
    <col min="5653" max="5653" width="20.42578125" style="27" bestFit="1" customWidth="1"/>
    <col min="5654" max="5654" width="9.85546875" style="27" bestFit="1" customWidth="1"/>
    <col min="5655" max="5887" width="9" style="27"/>
    <col min="5888" max="5888" width="14.7109375" style="27" bestFit="1" customWidth="1"/>
    <col min="5889" max="5889" width="16" style="27" customWidth="1"/>
    <col min="5890" max="5890" width="12.85546875" style="27" bestFit="1" customWidth="1"/>
    <col min="5891" max="5892" width="10.140625" style="27" bestFit="1" customWidth="1"/>
    <col min="5893" max="5893" width="22.42578125" style="27" bestFit="1" customWidth="1"/>
    <col min="5894" max="5894" width="14" style="27" customWidth="1"/>
    <col min="5895" max="5895" width="4.85546875" style="27" bestFit="1" customWidth="1"/>
    <col min="5896" max="5896" width="38.42578125" style="27" bestFit="1" customWidth="1"/>
    <col min="5897" max="5897" width="22.7109375" style="27" bestFit="1" customWidth="1"/>
    <col min="5898" max="5898" width="7.85546875" style="27" bestFit="1" customWidth="1"/>
    <col min="5899" max="5899" width="5.85546875" style="27" bestFit="1" customWidth="1"/>
    <col min="5900" max="5900" width="6.140625" style="27" bestFit="1" customWidth="1"/>
    <col min="5901" max="5901" width="4.42578125" style="27" bestFit="1" customWidth="1"/>
    <col min="5902" max="5902" width="6.85546875" style="27" bestFit="1" customWidth="1"/>
    <col min="5903" max="5903" width="4.42578125" style="27" bestFit="1" customWidth="1"/>
    <col min="5904" max="5904" width="8.42578125" style="27" bestFit="1" customWidth="1"/>
    <col min="5905" max="5905" width="1.85546875" style="27" bestFit="1" customWidth="1"/>
    <col min="5906" max="5906" width="9.85546875" style="27" bestFit="1" customWidth="1"/>
    <col min="5907" max="5908" width="9" style="27"/>
    <col min="5909" max="5909" width="20.42578125" style="27" bestFit="1" customWidth="1"/>
    <col min="5910" max="5910" width="9.85546875" style="27" bestFit="1" customWidth="1"/>
    <col min="5911" max="6143" width="9" style="27"/>
    <col min="6144" max="6144" width="14.7109375" style="27" bestFit="1" customWidth="1"/>
    <col min="6145" max="6145" width="16" style="27" customWidth="1"/>
    <col min="6146" max="6146" width="12.85546875" style="27" bestFit="1" customWidth="1"/>
    <col min="6147" max="6148" width="10.140625" style="27" bestFit="1" customWidth="1"/>
    <col min="6149" max="6149" width="22.42578125" style="27" bestFit="1" customWidth="1"/>
    <col min="6150" max="6150" width="14" style="27" customWidth="1"/>
    <col min="6151" max="6151" width="4.85546875" style="27" bestFit="1" customWidth="1"/>
    <col min="6152" max="6152" width="38.42578125" style="27" bestFit="1" customWidth="1"/>
    <col min="6153" max="6153" width="22.7109375" style="27" bestFit="1" customWidth="1"/>
    <col min="6154" max="6154" width="7.85546875" style="27" bestFit="1" customWidth="1"/>
    <col min="6155" max="6155" width="5.85546875" style="27" bestFit="1" customWidth="1"/>
    <col min="6156" max="6156" width="6.140625" style="27" bestFit="1" customWidth="1"/>
    <col min="6157" max="6157" width="4.42578125" style="27" bestFit="1" customWidth="1"/>
    <col min="6158" max="6158" width="6.85546875" style="27" bestFit="1" customWidth="1"/>
    <col min="6159" max="6159" width="4.42578125" style="27" bestFit="1" customWidth="1"/>
    <col min="6160" max="6160" width="8.42578125" style="27" bestFit="1" customWidth="1"/>
    <col min="6161" max="6161" width="1.85546875" style="27" bestFit="1" customWidth="1"/>
    <col min="6162" max="6162" width="9.85546875" style="27" bestFit="1" customWidth="1"/>
    <col min="6163" max="6164" width="9" style="27"/>
    <col min="6165" max="6165" width="20.42578125" style="27" bestFit="1" customWidth="1"/>
    <col min="6166" max="6166" width="9.85546875" style="27" bestFit="1" customWidth="1"/>
    <col min="6167" max="6399" width="9" style="27"/>
    <col min="6400" max="6400" width="14.7109375" style="27" bestFit="1" customWidth="1"/>
    <col min="6401" max="6401" width="16" style="27" customWidth="1"/>
    <col min="6402" max="6402" width="12.85546875" style="27" bestFit="1" customWidth="1"/>
    <col min="6403" max="6404" width="10.140625" style="27" bestFit="1" customWidth="1"/>
    <col min="6405" max="6405" width="22.42578125" style="27" bestFit="1" customWidth="1"/>
    <col min="6406" max="6406" width="14" style="27" customWidth="1"/>
    <col min="6407" max="6407" width="4.85546875" style="27" bestFit="1" customWidth="1"/>
    <col min="6408" max="6408" width="38.42578125" style="27" bestFit="1" customWidth="1"/>
    <col min="6409" max="6409" width="22.7109375" style="27" bestFit="1" customWidth="1"/>
    <col min="6410" max="6410" width="7.85546875" style="27" bestFit="1" customWidth="1"/>
    <col min="6411" max="6411" width="5.85546875" style="27" bestFit="1" customWidth="1"/>
    <col min="6412" max="6412" width="6.140625" style="27" bestFit="1" customWidth="1"/>
    <col min="6413" max="6413" width="4.42578125" style="27" bestFit="1" customWidth="1"/>
    <col min="6414" max="6414" width="6.85546875" style="27" bestFit="1" customWidth="1"/>
    <col min="6415" max="6415" width="4.42578125" style="27" bestFit="1" customWidth="1"/>
    <col min="6416" max="6416" width="8.42578125" style="27" bestFit="1" customWidth="1"/>
    <col min="6417" max="6417" width="1.85546875" style="27" bestFit="1" customWidth="1"/>
    <col min="6418" max="6418" width="9.85546875" style="27" bestFit="1" customWidth="1"/>
    <col min="6419" max="6420" width="9" style="27"/>
    <col min="6421" max="6421" width="20.42578125" style="27" bestFit="1" customWidth="1"/>
    <col min="6422" max="6422" width="9.85546875" style="27" bestFit="1" customWidth="1"/>
    <col min="6423" max="6655" width="9" style="27"/>
    <col min="6656" max="6656" width="14.7109375" style="27" bestFit="1" customWidth="1"/>
    <col min="6657" max="6657" width="16" style="27" customWidth="1"/>
    <col min="6658" max="6658" width="12.85546875" style="27" bestFit="1" customWidth="1"/>
    <col min="6659" max="6660" width="10.140625" style="27" bestFit="1" customWidth="1"/>
    <col min="6661" max="6661" width="22.42578125" style="27" bestFit="1" customWidth="1"/>
    <col min="6662" max="6662" width="14" style="27" customWidth="1"/>
    <col min="6663" max="6663" width="4.85546875" style="27" bestFit="1" customWidth="1"/>
    <col min="6664" max="6664" width="38.42578125" style="27" bestFit="1" customWidth="1"/>
    <col min="6665" max="6665" width="22.7109375" style="27" bestFit="1" customWidth="1"/>
    <col min="6666" max="6666" width="7.85546875" style="27" bestFit="1" customWidth="1"/>
    <col min="6667" max="6667" width="5.85546875" style="27" bestFit="1" customWidth="1"/>
    <col min="6668" max="6668" width="6.140625" style="27" bestFit="1" customWidth="1"/>
    <col min="6669" max="6669" width="4.42578125" style="27" bestFit="1" customWidth="1"/>
    <col min="6670" max="6670" width="6.85546875" style="27" bestFit="1" customWidth="1"/>
    <col min="6671" max="6671" width="4.42578125" style="27" bestFit="1" customWidth="1"/>
    <col min="6672" max="6672" width="8.42578125" style="27" bestFit="1" customWidth="1"/>
    <col min="6673" max="6673" width="1.85546875" style="27" bestFit="1" customWidth="1"/>
    <col min="6674" max="6674" width="9.85546875" style="27" bestFit="1" customWidth="1"/>
    <col min="6675" max="6676" width="9" style="27"/>
    <col min="6677" max="6677" width="20.42578125" style="27" bestFit="1" customWidth="1"/>
    <col min="6678" max="6678" width="9.85546875" style="27" bestFit="1" customWidth="1"/>
    <col min="6679" max="6911" width="9" style="27"/>
    <col min="6912" max="6912" width="14.7109375" style="27" bestFit="1" customWidth="1"/>
    <col min="6913" max="6913" width="16" style="27" customWidth="1"/>
    <col min="6914" max="6914" width="12.85546875" style="27" bestFit="1" customWidth="1"/>
    <col min="6915" max="6916" width="10.140625" style="27" bestFit="1" customWidth="1"/>
    <col min="6917" max="6917" width="22.42578125" style="27" bestFit="1" customWidth="1"/>
    <col min="6918" max="6918" width="14" style="27" customWidth="1"/>
    <col min="6919" max="6919" width="4.85546875" style="27" bestFit="1" customWidth="1"/>
    <col min="6920" max="6920" width="38.42578125" style="27" bestFit="1" customWidth="1"/>
    <col min="6921" max="6921" width="22.7109375" style="27" bestFit="1" customWidth="1"/>
    <col min="6922" max="6922" width="7.85546875" style="27" bestFit="1" customWidth="1"/>
    <col min="6923" max="6923" width="5.85546875" style="27" bestFit="1" customWidth="1"/>
    <col min="6924" max="6924" width="6.140625" style="27" bestFit="1" customWidth="1"/>
    <col min="6925" max="6925" width="4.42578125" style="27" bestFit="1" customWidth="1"/>
    <col min="6926" max="6926" width="6.85546875" style="27" bestFit="1" customWidth="1"/>
    <col min="6927" max="6927" width="4.42578125" style="27" bestFit="1" customWidth="1"/>
    <col min="6928" max="6928" width="8.42578125" style="27" bestFit="1" customWidth="1"/>
    <col min="6929" max="6929" width="1.85546875" style="27" bestFit="1" customWidth="1"/>
    <col min="6930" max="6930" width="9.85546875" style="27" bestFit="1" customWidth="1"/>
    <col min="6931" max="6932" width="9" style="27"/>
    <col min="6933" max="6933" width="20.42578125" style="27" bestFit="1" customWidth="1"/>
    <col min="6934" max="6934" width="9.85546875" style="27" bestFit="1" customWidth="1"/>
    <col min="6935" max="7167" width="9" style="27"/>
    <col min="7168" max="7168" width="14.7109375" style="27" bestFit="1" customWidth="1"/>
    <col min="7169" max="7169" width="16" style="27" customWidth="1"/>
    <col min="7170" max="7170" width="12.85546875" style="27" bestFit="1" customWidth="1"/>
    <col min="7171" max="7172" width="10.140625" style="27" bestFit="1" customWidth="1"/>
    <col min="7173" max="7173" width="22.42578125" style="27" bestFit="1" customWidth="1"/>
    <col min="7174" max="7174" width="14" style="27" customWidth="1"/>
    <col min="7175" max="7175" width="4.85546875" style="27" bestFit="1" customWidth="1"/>
    <col min="7176" max="7176" width="38.42578125" style="27" bestFit="1" customWidth="1"/>
    <col min="7177" max="7177" width="22.7109375" style="27" bestFit="1" customWidth="1"/>
    <col min="7178" max="7178" width="7.85546875" style="27" bestFit="1" customWidth="1"/>
    <col min="7179" max="7179" width="5.85546875" style="27" bestFit="1" customWidth="1"/>
    <col min="7180" max="7180" width="6.140625" style="27" bestFit="1" customWidth="1"/>
    <col min="7181" max="7181" width="4.42578125" style="27" bestFit="1" customWidth="1"/>
    <col min="7182" max="7182" width="6.85546875" style="27" bestFit="1" customWidth="1"/>
    <col min="7183" max="7183" width="4.42578125" style="27" bestFit="1" customWidth="1"/>
    <col min="7184" max="7184" width="8.42578125" style="27" bestFit="1" customWidth="1"/>
    <col min="7185" max="7185" width="1.85546875" style="27" bestFit="1" customWidth="1"/>
    <col min="7186" max="7186" width="9.85546875" style="27" bestFit="1" customWidth="1"/>
    <col min="7187" max="7188" width="9" style="27"/>
    <col min="7189" max="7189" width="20.42578125" style="27" bestFit="1" customWidth="1"/>
    <col min="7190" max="7190" width="9.85546875" style="27" bestFit="1" customWidth="1"/>
    <col min="7191" max="7423" width="9" style="27"/>
    <col min="7424" max="7424" width="14.7109375" style="27" bestFit="1" customWidth="1"/>
    <col min="7425" max="7425" width="16" style="27" customWidth="1"/>
    <col min="7426" max="7426" width="12.85546875" style="27" bestFit="1" customWidth="1"/>
    <col min="7427" max="7428" width="10.140625" style="27" bestFit="1" customWidth="1"/>
    <col min="7429" max="7429" width="22.42578125" style="27" bestFit="1" customWidth="1"/>
    <col min="7430" max="7430" width="14" style="27" customWidth="1"/>
    <col min="7431" max="7431" width="4.85546875" style="27" bestFit="1" customWidth="1"/>
    <col min="7432" max="7432" width="38.42578125" style="27" bestFit="1" customWidth="1"/>
    <col min="7433" max="7433" width="22.7109375" style="27" bestFit="1" customWidth="1"/>
    <col min="7434" max="7434" width="7.85546875" style="27" bestFit="1" customWidth="1"/>
    <col min="7435" max="7435" width="5.85546875" style="27" bestFit="1" customWidth="1"/>
    <col min="7436" max="7436" width="6.140625" style="27" bestFit="1" customWidth="1"/>
    <col min="7437" max="7437" width="4.42578125" style="27" bestFit="1" customWidth="1"/>
    <col min="7438" max="7438" width="6.85546875" style="27" bestFit="1" customWidth="1"/>
    <col min="7439" max="7439" width="4.42578125" style="27" bestFit="1" customWidth="1"/>
    <col min="7440" max="7440" width="8.42578125" style="27" bestFit="1" customWidth="1"/>
    <col min="7441" max="7441" width="1.85546875" style="27" bestFit="1" customWidth="1"/>
    <col min="7442" max="7442" width="9.85546875" style="27" bestFit="1" customWidth="1"/>
    <col min="7443" max="7444" width="9" style="27"/>
    <col min="7445" max="7445" width="20.42578125" style="27" bestFit="1" customWidth="1"/>
    <col min="7446" max="7446" width="9.85546875" style="27" bestFit="1" customWidth="1"/>
    <col min="7447" max="7679" width="9" style="27"/>
    <col min="7680" max="7680" width="14.7109375" style="27" bestFit="1" customWidth="1"/>
    <col min="7681" max="7681" width="16" style="27" customWidth="1"/>
    <col min="7682" max="7682" width="12.85546875" style="27" bestFit="1" customWidth="1"/>
    <col min="7683" max="7684" width="10.140625" style="27" bestFit="1" customWidth="1"/>
    <col min="7685" max="7685" width="22.42578125" style="27" bestFit="1" customWidth="1"/>
    <col min="7686" max="7686" width="14" style="27" customWidth="1"/>
    <col min="7687" max="7687" width="4.85546875" style="27" bestFit="1" customWidth="1"/>
    <col min="7688" max="7688" width="38.42578125" style="27" bestFit="1" customWidth="1"/>
    <col min="7689" max="7689" width="22.7109375" style="27" bestFit="1" customWidth="1"/>
    <col min="7690" max="7690" width="7.85546875" style="27" bestFit="1" customWidth="1"/>
    <col min="7691" max="7691" width="5.85546875" style="27" bestFit="1" customWidth="1"/>
    <col min="7692" max="7692" width="6.140625" style="27" bestFit="1" customWidth="1"/>
    <col min="7693" max="7693" width="4.42578125" style="27" bestFit="1" customWidth="1"/>
    <col min="7694" max="7694" width="6.85546875" style="27" bestFit="1" customWidth="1"/>
    <col min="7695" max="7695" width="4.42578125" style="27" bestFit="1" customWidth="1"/>
    <col min="7696" max="7696" width="8.42578125" style="27" bestFit="1" customWidth="1"/>
    <col min="7697" max="7697" width="1.85546875" style="27" bestFit="1" customWidth="1"/>
    <col min="7698" max="7698" width="9.85546875" style="27" bestFit="1" customWidth="1"/>
    <col min="7699" max="7700" width="9" style="27"/>
    <col min="7701" max="7701" width="20.42578125" style="27" bestFit="1" customWidth="1"/>
    <col min="7702" max="7702" width="9.85546875" style="27" bestFit="1" customWidth="1"/>
    <col min="7703" max="7935" width="9" style="27"/>
    <col min="7936" max="7936" width="14.7109375" style="27" bestFit="1" customWidth="1"/>
    <col min="7937" max="7937" width="16" style="27" customWidth="1"/>
    <col min="7938" max="7938" width="12.85546875" style="27" bestFit="1" customWidth="1"/>
    <col min="7939" max="7940" width="10.140625" style="27" bestFit="1" customWidth="1"/>
    <col min="7941" max="7941" width="22.42578125" style="27" bestFit="1" customWidth="1"/>
    <col min="7942" max="7942" width="14" style="27" customWidth="1"/>
    <col min="7943" max="7943" width="4.85546875" style="27" bestFit="1" customWidth="1"/>
    <col min="7944" max="7944" width="38.42578125" style="27" bestFit="1" customWidth="1"/>
    <col min="7945" max="7945" width="22.7109375" style="27" bestFit="1" customWidth="1"/>
    <col min="7946" max="7946" width="7.85546875" style="27" bestFit="1" customWidth="1"/>
    <col min="7947" max="7947" width="5.85546875" style="27" bestFit="1" customWidth="1"/>
    <col min="7948" max="7948" width="6.140625" style="27" bestFit="1" customWidth="1"/>
    <col min="7949" max="7949" width="4.42578125" style="27" bestFit="1" customWidth="1"/>
    <col min="7950" max="7950" width="6.85546875" style="27" bestFit="1" customWidth="1"/>
    <col min="7951" max="7951" width="4.42578125" style="27" bestFit="1" customWidth="1"/>
    <col min="7952" max="7952" width="8.42578125" style="27" bestFit="1" customWidth="1"/>
    <col min="7953" max="7953" width="1.85546875" style="27" bestFit="1" customWidth="1"/>
    <col min="7954" max="7954" width="9.85546875" style="27" bestFit="1" customWidth="1"/>
    <col min="7955" max="7956" width="9" style="27"/>
    <col min="7957" max="7957" width="20.42578125" style="27" bestFit="1" customWidth="1"/>
    <col min="7958" max="7958" width="9.85546875" style="27" bestFit="1" customWidth="1"/>
    <col min="7959" max="8191" width="9" style="27"/>
    <col min="8192" max="8192" width="14.7109375" style="27" bestFit="1" customWidth="1"/>
    <col min="8193" max="8193" width="16" style="27" customWidth="1"/>
    <col min="8194" max="8194" width="12.85546875" style="27" bestFit="1" customWidth="1"/>
    <col min="8195" max="8196" width="10.140625" style="27" bestFit="1" customWidth="1"/>
    <col min="8197" max="8197" width="22.42578125" style="27" bestFit="1" customWidth="1"/>
    <col min="8198" max="8198" width="14" style="27" customWidth="1"/>
    <col min="8199" max="8199" width="4.85546875" style="27" bestFit="1" customWidth="1"/>
    <col min="8200" max="8200" width="38.42578125" style="27" bestFit="1" customWidth="1"/>
    <col min="8201" max="8201" width="22.7109375" style="27" bestFit="1" customWidth="1"/>
    <col min="8202" max="8202" width="7.85546875" style="27" bestFit="1" customWidth="1"/>
    <col min="8203" max="8203" width="5.85546875" style="27" bestFit="1" customWidth="1"/>
    <col min="8204" max="8204" width="6.140625" style="27" bestFit="1" customWidth="1"/>
    <col min="8205" max="8205" width="4.42578125" style="27" bestFit="1" customWidth="1"/>
    <col min="8206" max="8206" width="6.85546875" style="27" bestFit="1" customWidth="1"/>
    <col min="8207" max="8207" width="4.42578125" style="27" bestFit="1" customWidth="1"/>
    <col min="8208" max="8208" width="8.42578125" style="27" bestFit="1" customWidth="1"/>
    <col min="8209" max="8209" width="1.85546875" style="27" bestFit="1" customWidth="1"/>
    <col min="8210" max="8210" width="9.85546875" style="27" bestFit="1" customWidth="1"/>
    <col min="8211" max="8212" width="9" style="27"/>
    <col min="8213" max="8213" width="20.42578125" style="27" bestFit="1" customWidth="1"/>
    <col min="8214" max="8214" width="9.85546875" style="27" bestFit="1" customWidth="1"/>
    <col min="8215" max="8447" width="9" style="27"/>
    <col min="8448" max="8448" width="14.7109375" style="27" bestFit="1" customWidth="1"/>
    <col min="8449" max="8449" width="16" style="27" customWidth="1"/>
    <col min="8450" max="8450" width="12.85546875" style="27" bestFit="1" customWidth="1"/>
    <col min="8451" max="8452" width="10.140625" style="27" bestFit="1" customWidth="1"/>
    <col min="8453" max="8453" width="22.42578125" style="27" bestFit="1" customWidth="1"/>
    <col min="8454" max="8454" width="14" style="27" customWidth="1"/>
    <col min="8455" max="8455" width="4.85546875" style="27" bestFit="1" customWidth="1"/>
    <col min="8456" max="8456" width="38.42578125" style="27" bestFit="1" customWidth="1"/>
    <col min="8457" max="8457" width="22.7109375" style="27" bestFit="1" customWidth="1"/>
    <col min="8458" max="8458" width="7.85546875" style="27" bestFit="1" customWidth="1"/>
    <col min="8459" max="8459" width="5.85546875" style="27" bestFit="1" customWidth="1"/>
    <col min="8460" max="8460" width="6.140625" style="27" bestFit="1" customWidth="1"/>
    <col min="8461" max="8461" width="4.42578125" style="27" bestFit="1" customWidth="1"/>
    <col min="8462" max="8462" width="6.85546875" style="27" bestFit="1" customWidth="1"/>
    <col min="8463" max="8463" width="4.42578125" style="27" bestFit="1" customWidth="1"/>
    <col min="8464" max="8464" width="8.42578125" style="27" bestFit="1" customWidth="1"/>
    <col min="8465" max="8465" width="1.85546875" style="27" bestFit="1" customWidth="1"/>
    <col min="8466" max="8466" width="9.85546875" style="27" bestFit="1" customWidth="1"/>
    <col min="8467" max="8468" width="9" style="27"/>
    <col min="8469" max="8469" width="20.42578125" style="27" bestFit="1" customWidth="1"/>
    <col min="8470" max="8470" width="9.85546875" style="27" bestFit="1" customWidth="1"/>
    <col min="8471" max="8703" width="9" style="27"/>
    <col min="8704" max="8704" width="14.7109375" style="27" bestFit="1" customWidth="1"/>
    <col min="8705" max="8705" width="16" style="27" customWidth="1"/>
    <col min="8706" max="8706" width="12.85546875" style="27" bestFit="1" customWidth="1"/>
    <col min="8707" max="8708" width="10.140625" style="27" bestFit="1" customWidth="1"/>
    <col min="8709" max="8709" width="22.42578125" style="27" bestFit="1" customWidth="1"/>
    <col min="8710" max="8710" width="14" style="27" customWidth="1"/>
    <col min="8711" max="8711" width="4.85546875" style="27" bestFit="1" customWidth="1"/>
    <col min="8712" max="8712" width="38.42578125" style="27" bestFit="1" customWidth="1"/>
    <col min="8713" max="8713" width="22.7109375" style="27" bestFit="1" customWidth="1"/>
    <col min="8714" max="8714" width="7.85546875" style="27" bestFit="1" customWidth="1"/>
    <col min="8715" max="8715" width="5.85546875" style="27" bestFit="1" customWidth="1"/>
    <col min="8716" max="8716" width="6.140625" style="27" bestFit="1" customWidth="1"/>
    <col min="8717" max="8717" width="4.42578125" style="27" bestFit="1" customWidth="1"/>
    <col min="8718" max="8718" width="6.85546875" style="27" bestFit="1" customWidth="1"/>
    <col min="8719" max="8719" width="4.42578125" style="27" bestFit="1" customWidth="1"/>
    <col min="8720" max="8720" width="8.42578125" style="27" bestFit="1" customWidth="1"/>
    <col min="8721" max="8721" width="1.85546875" style="27" bestFit="1" customWidth="1"/>
    <col min="8722" max="8722" width="9.85546875" style="27" bestFit="1" customWidth="1"/>
    <col min="8723" max="8724" width="9" style="27"/>
    <col min="8725" max="8725" width="20.42578125" style="27" bestFit="1" customWidth="1"/>
    <col min="8726" max="8726" width="9.85546875" style="27" bestFit="1" customWidth="1"/>
    <col min="8727" max="8959" width="9" style="27"/>
    <col min="8960" max="8960" width="14.7109375" style="27" bestFit="1" customWidth="1"/>
    <col min="8961" max="8961" width="16" style="27" customWidth="1"/>
    <col min="8962" max="8962" width="12.85546875" style="27" bestFit="1" customWidth="1"/>
    <col min="8963" max="8964" width="10.140625" style="27" bestFit="1" customWidth="1"/>
    <col min="8965" max="8965" width="22.42578125" style="27" bestFit="1" customWidth="1"/>
    <col min="8966" max="8966" width="14" style="27" customWidth="1"/>
    <col min="8967" max="8967" width="4.85546875" style="27" bestFit="1" customWidth="1"/>
    <col min="8968" max="8968" width="38.42578125" style="27" bestFit="1" customWidth="1"/>
    <col min="8969" max="8969" width="22.7109375" style="27" bestFit="1" customWidth="1"/>
    <col min="8970" max="8970" width="7.85546875" style="27" bestFit="1" customWidth="1"/>
    <col min="8971" max="8971" width="5.85546875" style="27" bestFit="1" customWidth="1"/>
    <col min="8972" max="8972" width="6.140625" style="27" bestFit="1" customWidth="1"/>
    <col min="8973" max="8973" width="4.42578125" style="27" bestFit="1" customWidth="1"/>
    <col min="8974" max="8974" width="6.85546875" style="27" bestFit="1" customWidth="1"/>
    <col min="8975" max="8975" width="4.42578125" style="27" bestFit="1" customWidth="1"/>
    <col min="8976" max="8976" width="8.42578125" style="27" bestFit="1" customWidth="1"/>
    <col min="8977" max="8977" width="1.85546875" style="27" bestFit="1" customWidth="1"/>
    <col min="8978" max="8978" width="9.85546875" style="27" bestFit="1" customWidth="1"/>
    <col min="8979" max="8980" width="9" style="27"/>
    <col min="8981" max="8981" width="20.42578125" style="27" bestFit="1" customWidth="1"/>
    <col min="8982" max="8982" width="9.85546875" style="27" bestFit="1" customWidth="1"/>
    <col min="8983" max="9215" width="9" style="27"/>
    <col min="9216" max="9216" width="14.7109375" style="27" bestFit="1" customWidth="1"/>
    <col min="9217" max="9217" width="16" style="27" customWidth="1"/>
    <col min="9218" max="9218" width="12.85546875" style="27" bestFit="1" customWidth="1"/>
    <col min="9219" max="9220" width="10.140625" style="27" bestFit="1" customWidth="1"/>
    <col min="9221" max="9221" width="22.42578125" style="27" bestFit="1" customWidth="1"/>
    <col min="9222" max="9222" width="14" style="27" customWidth="1"/>
    <col min="9223" max="9223" width="4.85546875" style="27" bestFit="1" customWidth="1"/>
    <col min="9224" max="9224" width="38.42578125" style="27" bestFit="1" customWidth="1"/>
    <col min="9225" max="9225" width="22.7109375" style="27" bestFit="1" customWidth="1"/>
    <col min="9226" max="9226" width="7.85546875" style="27" bestFit="1" customWidth="1"/>
    <col min="9227" max="9227" width="5.85546875" style="27" bestFit="1" customWidth="1"/>
    <col min="9228" max="9228" width="6.140625" style="27" bestFit="1" customWidth="1"/>
    <col min="9229" max="9229" width="4.42578125" style="27" bestFit="1" customWidth="1"/>
    <col min="9230" max="9230" width="6.85546875" style="27" bestFit="1" customWidth="1"/>
    <col min="9231" max="9231" width="4.42578125" style="27" bestFit="1" customWidth="1"/>
    <col min="9232" max="9232" width="8.42578125" style="27" bestFit="1" customWidth="1"/>
    <col min="9233" max="9233" width="1.85546875" style="27" bestFit="1" customWidth="1"/>
    <col min="9234" max="9234" width="9.85546875" style="27" bestFit="1" customWidth="1"/>
    <col min="9235" max="9236" width="9" style="27"/>
    <col min="9237" max="9237" width="20.42578125" style="27" bestFit="1" customWidth="1"/>
    <col min="9238" max="9238" width="9.85546875" style="27" bestFit="1" customWidth="1"/>
    <col min="9239" max="9471" width="9" style="27"/>
    <col min="9472" max="9472" width="14.7109375" style="27" bestFit="1" customWidth="1"/>
    <col min="9473" max="9473" width="16" style="27" customWidth="1"/>
    <col min="9474" max="9474" width="12.85546875" style="27" bestFit="1" customWidth="1"/>
    <col min="9475" max="9476" width="10.140625" style="27" bestFit="1" customWidth="1"/>
    <col min="9477" max="9477" width="22.42578125" style="27" bestFit="1" customWidth="1"/>
    <col min="9478" max="9478" width="14" style="27" customWidth="1"/>
    <col min="9479" max="9479" width="4.85546875" style="27" bestFit="1" customWidth="1"/>
    <col min="9480" max="9480" width="38.42578125" style="27" bestFit="1" customWidth="1"/>
    <col min="9481" max="9481" width="22.7109375" style="27" bestFit="1" customWidth="1"/>
    <col min="9482" max="9482" width="7.85546875" style="27" bestFit="1" customWidth="1"/>
    <col min="9483" max="9483" width="5.85546875" style="27" bestFit="1" customWidth="1"/>
    <col min="9484" max="9484" width="6.140625" style="27" bestFit="1" customWidth="1"/>
    <col min="9485" max="9485" width="4.42578125" style="27" bestFit="1" customWidth="1"/>
    <col min="9486" max="9486" width="6.85546875" style="27" bestFit="1" customWidth="1"/>
    <col min="9487" max="9487" width="4.42578125" style="27" bestFit="1" customWidth="1"/>
    <col min="9488" max="9488" width="8.42578125" style="27" bestFit="1" customWidth="1"/>
    <col min="9489" max="9489" width="1.85546875" style="27" bestFit="1" customWidth="1"/>
    <col min="9490" max="9490" width="9.85546875" style="27" bestFit="1" customWidth="1"/>
    <col min="9491" max="9492" width="9" style="27"/>
    <col min="9493" max="9493" width="20.42578125" style="27" bestFit="1" customWidth="1"/>
    <col min="9494" max="9494" width="9.85546875" style="27" bestFit="1" customWidth="1"/>
    <col min="9495" max="9727" width="9" style="27"/>
    <col min="9728" max="9728" width="14.7109375" style="27" bestFit="1" customWidth="1"/>
    <col min="9729" max="9729" width="16" style="27" customWidth="1"/>
    <col min="9730" max="9730" width="12.85546875" style="27" bestFit="1" customWidth="1"/>
    <col min="9731" max="9732" width="10.140625" style="27" bestFit="1" customWidth="1"/>
    <col min="9733" max="9733" width="22.42578125" style="27" bestFit="1" customWidth="1"/>
    <col min="9734" max="9734" width="14" style="27" customWidth="1"/>
    <col min="9735" max="9735" width="4.85546875" style="27" bestFit="1" customWidth="1"/>
    <col min="9736" max="9736" width="38.42578125" style="27" bestFit="1" customWidth="1"/>
    <col min="9737" max="9737" width="22.7109375" style="27" bestFit="1" customWidth="1"/>
    <col min="9738" max="9738" width="7.85546875" style="27" bestFit="1" customWidth="1"/>
    <col min="9739" max="9739" width="5.85546875" style="27" bestFit="1" customWidth="1"/>
    <col min="9740" max="9740" width="6.140625" style="27" bestFit="1" customWidth="1"/>
    <col min="9741" max="9741" width="4.42578125" style="27" bestFit="1" customWidth="1"/>
    <col min="9742" max="9742" width="6.85546875" style="27" bestFit="1" customWidth="1"/>
    <col min="9743" max="9743" width="4.42578125" style="27" bestFit="1" customWidth="1"/>
    <col min="9744" max="9744" width="8.42578125" style="27" bestFit="1" customWidth="1"/>
    <col min="9745" max="9745" width="1.85546875" style="27" bestFit="1" customWidth="1"/>
    <col min="9746" max="9746" width="9.85546875" style="27" bestFit="1" customWidth="1"/>
    <col min="9747" max="9748" width="9" style="27"/>
    <col min="9749" max="9749" width="20.42578125" style="27" bestFit="1" customWidth="1"/>
    <col min="9750" max="9750" width="9.85546875" style="27" bestFit="1" customWidth="1"/>
    <col min="9751" max="9983" width="9" style="27"/>
    <col min="9984" max="9984" width="14.7109375" style="27" bestFit="1" customWidth="1"/>
    <col min="9985" max="9985" width="16" style="27" customWidth="1"/>
    <col min="9986" max="9986" width="12.85546875" style="27" bestFit="1" customWidth="1"/>
    <col min="9987" max="9988" width="10.140625" style="27" bestFit="1" customWidth="1"/>
    <col min="9989" max="9989" width="22.42578125" style="27" bestFit="1" customWidth="1"/>
    <col min="9990" max="9990" width="14" style="27" customWidth="1"/>
    <col min="9991" max="9991" width="4.85546875" style="27" bestFit="1" customWidth="1"/>
    <col min="9992" max="9992" width="38.42578125" style="27" bestFit="1" customWidth="1"/>
    <col min="9993" max="9993" width="22.7109375" style="27" bestFit="1" customWidth="1"/>
    <col min="9994" max="9994" width="7.85546875" style="27" bestFit="1" customWidth="1"/>
    <col min="9995" max="9995" width="5.85546875" style="27" bestFit="1" customWidth="1"/>
    <col min="9996" max="9996" width="6.140625" style="27" bestFit="1" customWidth="1"/>
    <col min="9997" max="9997" width="4.42578125" style="27" bestFit="1" customWidth="1"/>
    <col min="9998" max="9998" width="6.85546875" style="27" bestFit="1" customWidth="1"/>
    <col min="9999" max="9999" width="4.42578125" style="27" bestFit="1" customWidth="1"/>
    <col min="10000" max="10000" width="8.42578125" style="27" bestFit="1" customWidth="1"/>
    <col min="10001" max="10001" width="1.85546875" style="27" bestFit="1" customWidth="1"/>
    <col min="10002" max="10002" width="9.85546875" style="27" bestFit="1" customWidth="1"/>
    <col min="10003" max="10004" width="9" style="27"/>
    <col min="10005" max="10005" width="20.42578125" style="27" bestFit="1" customWidth="1"/>
    <col min="10006" max="10006" width="9.85546875" style="27" bestFit="1" customWidth="1"/>
    <col min="10007" max="10239" width="9" style="27"/>
    <col min="10240" max="10240" width="14.7109375" style="27" bestFit="1" customWidth="1"/>
    <col min="10241" max="10241" width="16" style="27" customWidth="1"/>
    <col min="10242" max="10242" width="12.85546875" style="27" bestFit="1" customWidth="1"/>
    <col min="10243" max="10244" width="10.140625" style="27" bestFit="1" customWidth="1"/>
    <col min="10245" max="10245" width="22.42578125" style="27" bestFit="1" customWidth="1"/>
    <col min="10246" max="10246" width="14" style="27" customWidth="1"/>
    <col min="10247" max="10247" width="4.85546875" style="27" bestFit="1" customWidth="1"/>
    <col min="10248" max="10248" width="38.42578125" style="27" bestFit="1" customWidth="1"/>
    <col min="10249" max="10249" width="22.7109375" style="27" bestFit="1" customWidth="1"/>
    <col min="10250" max="10250" width="7.85546875" style="27" bestFit="1" customWidth="1"/>
    <col min="10251" max="10251" width="5.85546875" style="27" bestFit="1" customWidth="1"/>
    <col min="10252" max="10252" width="6.140625" style="27" bestFit="1" customWidth="1"/>
    <col min="10253" max="10253" width="4.42578125" style="27" bestFit="1" customWidth="1"/>
    <col min="10254" max="10254" width="6.85546875" style="27" bestFit="1" customWidth="1"/>
    <col min="10255" max="10255" width="4.42578125" style="27" bestFit="1" customWidth="1"/>
    <col min="10256" max="10256" width="8.42578125" style="27" bestFit="1" customWidth="1"/>
    <col min="10257" max="10257" width="1.85546875" style="27" bestFit="1" customWidth="1"/>
    <col min="10258" max="10258" width="9.85546875" style="27" bestFit="1" customWidth="1"/>
    <col min="10259" max="10260" width="9" style="27"/>
    <col min="10261" max="10261" width="20.42578125" style="27" bestFit="1" customWidth="1"/>
    <col min="10262" max="10262" width="9.85546875" style="27" bestFit="1" customWidth="1"/>
    <col min="10263" max="10495" width="9" style="27"/>
    <col min="10496" max="10496" width="14.7109375" style="27" bestFit="1" customWidth="1"/>
    <col min="10497" max="10497" width="16" style="27" customWidth="1"/>
    <col min="10498" max="10498" width="12.85546875" style="27" bestFit="1" customWidth="1"/>
    <col min="10499" max="10500" width="10.140625" style="27" bestFit="1" customWidth="1"/>
    <col min="10501" max="10501" width="22.42578125" style="27" bestFit="1" customWidth="1"/>
    <col min="10502" max="10502" width="14" style="27" customWidth="1"/>
    <col min="10503" max="10503" width="4.85546875" style="27" bestFit="1" customWidth="1"/>
    <col min="10504" max="10504" width="38.42578125" style="27" bestFit="1" customWidth="1"/>
    <col min="10505" max="10505" width="22.7109375" style="27" bestFit="1" customWidth="1"/>
    <col min="10506" max="10506" width="7.85546875" style="27" bestFit="1" customWidth="1"/>
    <col min="10507" max="10507" width="5.85546875" style="27" bestFit="1" customWidth="1"/>
    <col min="10508" max="10508" width="6.140625" style="27" bestFit="1" customWidth="1"/>
    <col min="10509" max="10509" width="4.42578125" style="27" bestFit="1" customWidth="1"/>
    <col min="10510" max="10510" width="6.85546875" style="27" bestFit="1" customWidth="1"/>
    <col min="10511" max="10511" width="4.42578125" style="27" bestFit="1" customWidth="1"/>
    <col min="10512" max="10512" width="8.42578125" style="27" bestFit="1" customWidth="1"/>
    <col min="10513" max="10513" width="1.85546875" style="27" bestFit="1" customWidth="1"/>
    <col min="10514" max="10514" width="9.85546875" style="27" bestFit="1" customWidth="1"/>
    <col min="10515" max="10516" width="9" style="27"/>
    <col min="10517" max="10517" width="20.42578125" style="27" bestFit="1" customWidth="1"/>
    <col min="10518" max="10518" width="9.85546875" style="27" bestFit="1" customWidth="1"/>
    <col min="10519" max="10751" width="9" style="27"/>
    <col min="10752" max="10752" width="14.7109375" style="27" bestFit="1" customWidth="1"/>
    <col min="10753" max="10753" width="16" style="27" customWidth="1"/>
    <col min="10754" max="10754" width="12.85546875" style="27" bestFit="1" customWidth="1"/>
    <col min="10755" max="10756" width="10.140625" style="27" bestFit="1" customWidth="1"/>
    <col min="10757" max="10757" width="22.42578125" style="27" bestFit="1" customWidth="1"/>
    <col min="10758" max="10758" width="14" style="27" customWidth="1"/>
    <col min="10759" max="10759" width="4.85546875" style="27" bestFit="1" customWidth="1"/>
    <col min="10760" max="10760" width="38.42578125" style="27" bestFit="1" customWidth="1"/>
    <col min="10761" max="10761" width="22.7109375" style="27" bestFit="1" customWidth="1"/>
    <col min="10762" max="10762" width="7.85546875" style="27" bestFit="1" customWidth="1"/>
    <col min="10763" max="10763" width="5.85546875" style="27" bestFit="1" customWidth="1"/>
    <col min="10764" max="10764" width="6.140625" style="27" bestFit="1" customWidth="1"/>
    <col min="10765" max="10765" width="4.42578125" style="27" bestFit="1" customWidth="1"/>
    <col min="10766" max="10766" width="6.85546875" style="27" bestFit="1" customWidth="1"/>
    <col min="10767" max="10767" width="4.42578125" style="27" bestFit="1" customWidth="1"/>
    <col min="10768" max="10768" width="8.42578125" style="27" bestFit="1" customWidth="1"/>
    <col min="10769" max="10769" width="1.85546875" style="27" bestFit="1" customWidth="1"/>
    <col min="10770" max="10770" width="9.85546875" style="27" bestFit="1" customWidth="1"/>
    <col min="10771" max="10772" width="9" style="27"/>
    <col min="10773" max="10773" width="20.42578125" style="27" bestFit="1" customWidth="1"/>
    <col min="10774" max="10774" width="9.85546875" style="27" bestFit="1" customWidth="1"/>
    <col min="10775" max="11007" width="9" style="27"/>
    <col min="11008" max="11008" width="14.7109375" style="27" bestFit="1" customWidth="1"/>
    <col min="11009" max="11009" width="16" style="27" customWidth="1"/>
    <col min="11010" max="11010" width="12.85546875" style="27" bestFit="1" customWidth="1"/>
    <col min="11011" max="11012" width="10.140625" style="27" bestFit="1" customWidth="1"/>
    <col min="11013" max="11013" width="22.42578125" style="27" bestFit="1" customWidth="1"/>
    <col min="11014" max="11014" width="14" style="27" customWidth="1"/>
    <col min="11015" max="11015" width="4.85546875" style="27" bestFit="1" customWidth="1"/>
    <col min="11016" max="11016" width="38.42578125" style="27" bestFit="1" customWidth="1"/>
    <col min="11017" max="11017" width="22.7109375" style="27" bestFit="1" customWidth="1"/>
    <col min="11018" max="11018" width="7.85546875" style="27" bestFit="1" customWidth="1"/>
    <col min="11019" max="11019" width="5.85546875" style="27" bestFit="1" customWidth="1"/>
    <col min="11020" max="11020" width="6.140625" style="27" bestFit="1" customWidth="1"/>
    <col min="11021" max="11021" width="4.42578125" style="27" bestFit="1" customWidth="1"/>
    <col min="11022" max="11022" width="6.85546875" style="27" bestFit="1" customWidth="1"/>
    <col min="11023" max="11023" width="4.42578125" style="27" bestFit="1" customWidth="1"/>
    <col min="11024" max="11024" width="8.42578125" style="27" bestFit="1" customWidth="1"/>
    <col min="11025" max="11025" width="1.85546875" style="27" bestFit="1" customWidth="1"/>
    <col min="11026" max="11026" width="9.85546875" style="27" bestFit="1" customWidth="1"/>
    <col min="11027" max="11028" width="9" style="27"/>
    <col min="11029" max="11029" width="20.42578125" style="27" bestFit="1" customWidth="1"/>
    <col min="11030" max="11030" width="9.85546875" style="27" bestFit="1" customWidth="1"/>
    <col min="11031" max="11263" width="9" style="27"/>
    <col min="11264" max="11264" width="14.7109375" style="27" bestFit="1" customWidth="1"/>
    <col min="11265" max="11265" width="16" style="27" customWidth="1"/>
    <col min="11266" max="11266" width="12.85546875" style="27" bestFit="1" customWidth="1"/>
    <col min="11267" max="11268" width="10.140625" style="27" bestFit="1" customWidth="1"/>
    <col min="11269" max="11269" width="22.42578125" style="27" bestFit="1" customWidth="1"/>
    <col min="11270" max="11270" width="14" style="27" customWidth="1"/>
    <col min="11271" max="11271" width="4.85546875" style="27" bestFit="1" customWidth="1"/>
    <col min="11272" max="11272" width="38.42578125" style="27" bestFit="1" customWidth="1"/>
    <col min="11273" max="11273" width="22.7109375" style="27" bestFit="1" customWidth="1"/>
    <col min="11274" max="11274" width="7.85546875" style="27" bestFit="1" customWidth="1"/>
    <col min="11275" max="11275" width="5.85546875" style="27" bestFit="1" customWidth="1"/>
    <col min="11276" max="11276" width="6.140625" style="27" bestFit="1" customWidth="1"/>
    <col min="11277" max="11277" width="4.42578125" style="27" bestFit="1" customWidth="1"/>
    <col min="11278" max="11278" width="6.85546875" style="27" bestFit="1" customWidth="1"/>
    <col min="11279" max="11279" width="4.42578125" style="27" bestFit="1" customWidth="1"/>
    <col min="11280" max="11280" width="8.42578125" style="27" bestFit="1" customWidth="1"/>
    <col min="11281" max="11281" width="1.85546875" style="27" bestFit="1" customWidth="1"/>
    <col min="11282" max="11282" width="9.85546875" style="27" bestFit="1" customWidth="1"/>
    <col min="11283" max="11284" width="9" style="27"/>
    <col min="11285" max="11285" width="20.42578125" style="27" bestFit="1" customWidth="1"/>
    <col min="11286" max="11286" width="9.85546875" style="27" bestFit="1" customWidth="1"/>
    <col min="11287" max="11519" width="9" style="27"/>
    <col min="11520" max="11520" width="14.7109375" style="27" bestFit="1" customWidth="1"/>
    <col min="11521" max="11521" width="16" style="27" customWidth="1"/>
    <col min="11522" max="11522" width="12.85546875" style="27" bestFit="1" customWidth="1"/>
    <col min="11523" max="11524" width="10.140625" style="27" bestFit="1" customWidth="1"/>
    <col min="11525" max="11525" width="22.42578125" style="27" bestFit="1" customWidth="1"/>
    <col min="11526" max="11526" width="14" style="27" customWidth="1"/>
    <col min="11527" max="11527" width="4.85546875" style="27" bestFit="1" customWidth="1"/>
    <col min="11528" max="11528" width="38.42578125" style="27" bestFit="1" customWidth="1"/>
    <col min="11529" max="11529" width="22.7109375" style="27" bestFit="1" customWidth="1"/>
    <col min="11530" max="11530" width="7.85546875" style="27" bestFit="1" customWidth="1"/>
    <col min="11531" max="11531" width="5.85546875" style="27" bestFit="1" customWidth="1"/>
    <col min="11532" max="11532" width="6.140625" style="27" bestFit="1" customWidth="1"/>
    <col min="11533" max="11533" width="4.42578125" style="27" bestFit="1" customWidth="1"/>
    <col min="11534" max="11534" width="6.85546875" style="27" bestFit="1" customWidth="1"/>
    <col min="11535" max="11535" width="4.42578125" style="27" bestFit="1" customWidth="1"/>
    <col min="11536" max="11536" width="8.42578125" style="27" bestFit="1" customWidth="1"/>
    <col min="11537" max="11537" width="1.85546875" style="27" bestFit="1" customWidth="1"/>
    <col min="11538" max="11538" width="9.85546875" style="27" bestFit="1" customWidth="1"/>
    <col min="11539" max="11540" width="9" style="27"/>
    <col min="11541" max="11541" width="20.42578125" style="27" bestFit="1" customWidth="1"/>
    <col min="11542" max="11542" width="9.85546875" style="27" bestFit="1" customWidth="1"/>
    <col min="11543" max="11775" width="9" style="27"/>
    <col min="11776" max="11776" width="14.7109375" style="27" bestFit="1" customWidth="1"/>
    <col min="11777" max="11777" width="16" style="27" customWidth="1"/>
    <col min="11778" max="11778" width="12.85546875" style="27" bestFit="1" customWidth="1"/>
    <col min="11779" max="11780" width="10.140625" style="27" bestFit="1" customWidth="1"/>
    <col min="11781" max="11781" width="22.42578125" style="27" bestFit="1" customWidth="1"/>
    <col min="11782" max="11782" width="14" style="27" customWidth="1"/>
    <col min="11783" max="11783" width="4.85546875" style="27" bestFit="1" customWidth="1"/>
    <col min="11784" max="11784" width="38.42578125" style="27" bestFit="1" customWidth="1"/>
    <col min="11785" max="11785" width="22.7109375" style="27" bestFit="1" customWidth="1"/>
    <col min="11786" max="11786" width="7.85546875" style="27" bestFit="1" customWidth="1"/>
    <col min="11787" max="11787" width="5.85546875" style="27" bestFit="1" customWidth="1"/>
    <col min="11788" max="11788" width="6.140625" style="27" bestFit="1" customWidth="1"/>
    <col min="11789" max="11789" width="4.42578125" style="27" bestFit="1" customWidth="1"/>
    <col min="11790" max="11790" width="6.85546875" style="27" bestFit="1" customWidth="1"/>
    <col min="11791" max="11791" width="4.42578125" style="27" bestFit="1" customWidth="1"/>
    <col min="11792" max="11792" width="8.42578125" style="27" bestFit="1" customWidth="1"/>
    <col min="11793" max="11793" width="1.85546875" style="27" bestFit="1" customWidth="1"/>
    <col min="11794" max="11794" width="9.85546875" style="27" bestFit="1" customWidth="1"/>
    <col min="11795" max="11796" width="9" style="27"/>
    <col min="11797" max="11797" width="20.42578125" style="27" bestFit="1" customWidth="1"/>
    <col min="11798" max="11798" width="9.85546875" style="27" bestFit="1" customWidth="1"/>
    <col min="11799" max="12031" width="9" style="27"/>
    <col min="12032" max="12032" width="14.7109375" style="27" bestFit="1" customWidth="1"/>
    <col min="12033" max="12033" width="16" style="27" customWidth="1"/>
    <col min="12034" max="12034" width="12.85546875" style="27" bestFit="1" customWidth="1"/>
    <col min="12035" max="12036" width="10.140625" style="27" bestFit="1" customWidth="1"/>
    <col min="12037" max="12037" width="22.42578125" style="27" bestFit="1" customWidth="1"/>
    <col min="12038" max="12038" width="14" style="27" customWidth="1"/>
    <col min="12039" max="12039" width="4.85546875" style="27" bestFit="1" customWidth="1"/>
    <col min="12040" max="12040" width="38.42578125" style="27" bestFit="1" customWidth="1"/>
    <col min="12041" max="12041" width="22.7109375" style="27" bestFit="1" customWidth="1"/>
    <col min="12042" max="12042" width="7.85546875" style="27" bestFit="1" customWidth="1"/>
    <col min="12043" max="12043" width="5.85546875" style="27" bestFit="1" customWidth="1"/>
    <col min="12044" max="12044" width="6.140625" style="27" bestFit="1" customWidth="1"/>
    <col min="12045" max="12045" width="4.42578125" style="27" bestFit="1" customWidth="1"/>
    <col min="12046" max="12046" width="6.85546875" style="27" bestFit="1" customWidth="1"/>
    <col min="12047" max="12047" width="4.42578125" style="27" bestFit="1" customWidth="1"/>
    <col min="12048" max="12048" width="8.42578125" style="27" bestFit="1" customWidth="1"/>
    <col min="12049" max="12049" width="1.85546875" style="27" bestFit="1" customWidth="1"/>
    <col min="12050" max="12050" width="9.85546875" style="27" bestFit="1" customWidth="1"/>
    <col min="12051" max="12052" width="9" style="27"/>
    <col min="12053" max="12053" width="20.42578125" style="27" bestFit="1" customWidth="1"/>
    <col min="12054" max="12054" width="9.85546875" style="27" bestFit="1" customWidth="1"/>
    <col min="12055" max="12287" width="9" style="27"/>
    <col min="12288" max="12288" width="14.7109375" style="27" bestFit="1" customWidth="1"/>
    <col min="12289" max="12289" width="16" style="27" customWidth="1"/>
    <col min="12290" max="12290" width="12.85546875" style="27" bestFit="1" customWidth="1"/>
    <col min="12291" max="12292" width="10.140625" style="27" bestFit="1" customWidth="1"/>
    <col min="12293" max="12293" width="22.42578125" style="27" bestFit="1" customWidth="1"/>
    <col min="12294" max="12294" width="14" style="27" customWidth="1"/>
    <col min="12295" max="12295" width="4.85546875" style="27" bestFit="1" customWidth="1"/>
    <col min="12296" max="12296" width="38.42578125" style="27" bestFit="1" customWidth="1"/>
    <col min="12297" max="12297" width="22.7109375" style="27" bestFit="1" customWidth="1"/>
    <col min="12298" max="12298" width="7.85546875" style="27" bestFit="1" customWidth="1"/>
    <col min="12299" max="12299" width="5.85546875" style="27" bestFit="1" customWidth="1"/>
    <col min="12300" max="12300" width="6.140625" style="27" bestFit="1" customWidth="1"/>
    <col min="12301" max="12301" width="4.42578125" style="27" bestFit="1" customWidth="1"/>
    <col min="12302" max="12302" width="6.85546875" style="27" bestFit="1" customWidth="1"/>
    <col min="12303" max="12303" width="4.42578125" style="27" bestFit="1" customWidth="1"/>
    <col min="12304" max="12304" width="8.42578125" style="27" bestFit="1" customWidth="1"/>
    <col min="12305" max="12305" width="1.85546875" style="27" bestFit="1" customWidth="1"/>
    <col min="12306" max="12306" width="9.85546875" style="27" bestFit="1" customWidth="1"/>
    <col min="12307" max="12308" width="9" style="27"/>
    <col min="12309" max="12309" width="20.42578125" style="27" bestFit="1" customWidth="1"/>
    <col min="12310" max="12310" width="9.85546875" style="27" bestFit="1" customWidth="1"/>
    <col min="12311" max="12543" width="9" style="27"/>
    <col min="12544" max="12544" width="14.7109375" style="27" bestFit="1" customWidth="1"/>
    <col min="12545" max="12545" width="16" style="27" customWidth="1"/>
    <col min="12546" max="12546" width="12.85546875" style="27" bestFit="1" customWidth="1"/>
    <col min="12547" max="12548" width="10.140625" style="27" bestFit="1" customWidth="1"/>
    <col min="12549" max="12549" width="22.42578125" style="27" bestFit="1" customWidth="1"/>
    <col min="12550" max="12550" width="14" style="27" customWidth="1"/>
    <col min="12551" max="12551" width="4.85546875" style="27" bestFit="1" customWidth="1"/>
    <col min="12552" max="12552" width="38.42578125" style="27" bestFit="1" customWidth="1"/>
    <col min="12553" max="12553" width="22.7109375" style="27" bestFit="1" customWidth="1"/>
    <col min="12554" max="12554" width="7.85546875" style="27" bestFit="1" customWidth="1"/>
    <col min="12555" max="12555" width="5.85546875" style="27" bestFit="1" customWidth="1"/>
    <col min="12556" max="12556" width="6.140625" style="27" bestFit="1" customWidth="1"/>
    <col min="12557" max="12557" width="4.42578125" style="27" bestFit="1" customWidth="1"/>
    <col min="12558" max="12558" width="6.85546875" style="27" bestFit="1" customWidth="1"/>
    <col min="12559" max="12559" width="4.42578125" style="27" bestFit="1" customWidth="1"/>
    <col min="12560" max="12560" width="8.42578125" style="27" bestFit="1" customWidth="1"/>
    <col min="12561" max="12561" width="1.85546875" style="27" bestFit="1" customWidth="1"/>
    <col min="12562" max="12562" width="9.85546875" style="27" bestFit="1" customWidth="1"/>
    <col min="12563" max="12564" width="9" style="27"/>
    <col min="12565" max="12565" width="20.42578125" style="27" bestFit="1" customWidth="1"/>
    <col min="12566" max="12566" width="9.85546875" style="27" bestFit="1" customWidth="1"/>
    <col min="12567" max="12799" width="9" style="27"/>
    <col min="12800" max="12800" width="14.7109375" style="27" bestFit="1" customWidth="1"/>
    <col min="12801" max="12801" width="16" style="27" customWidth="1"/>
    <col min="12802" max="12802" width="12.85546875" style="27" bestFit="1" customWidth="1"/>
    <col min="12803" max="12804" width="10.140625" style="27" bestFit="1" customWidth="1"/>
    <col min="12805" max="12805" width="22.42578125" style="27" bestFit="1" customWidth="1"/>
    <col min="12806" max="12806" width="14" style="27" customWidth="1"/>
    <col min="12807" max="12807" width="4.85546875" style="27" bestFit="1" customWidth="1"/>
    <col min="12808" max="12808" width="38.42578125" style="27" bestFit="1" customWidth="1"/>
    <col min="12809" max="12809" width="22.7109375" style="27" bestFit="1" customWidth="1"/>
    <col min="12810" max="12810" width="7.85546875" style="27" bestFit="1" customWidth="1"/>
    <col min="12811" max="12811" width="5.85546875" style="27" bestFit="1" customWidth="1"/>
    <col min="12812" max="12812" width="6.140625" style="27" bestFit="1" customWidth="1"/>
    <col min="12813" max="12813" width="4.42578125" style="27" bestFit="1" customWidth="1"/>
    <col min="12814" max="12814" width="6.85546875" style="27" bestFit="1" customWidth="1"/>
    <col min="12815" max="12815" width="4.42578125" style="27" bestFit="1" customWidth="1"/>
    <col min="12816" max="12816" width="8.42578125" style="27" bestFit="1" customWidth="1"/>
    <col min="12817" max="12817" width="1.85546875" style="27" bestFit="1" customWidth="1"/>
    <col min="12818" max="12818" width="9.85546875" style="27" bestFit="1" customWidth="1"/>
    <col min="12819" max="12820" width="9" style="27"/>
    <col min="12821" max="12821" width="20.42578125" style="27" bestFit="1" customWidth="1"/>
    <col min="12822" max="12822" width="9.85546875" style="27" bestFit="1" customWidth="1"/>
    <col min="12823" max="13055" width="9" style="27"/>
    <col min="13056" max="13056" width="14.7109375" style="27" bestFit="1" customWidth="1"/>
    <col min="13057" max="13057" width="16" style="27" customWidth="1"/>
    <col min="13058" max="13058" width="12.85546875" style="27" bestFit="1" customWidth="1"/>
    <col min="13059" max="13060" width="10.140625" style="27" bestFit="1" customWidth="1"/>
    <col min="13061" max="13061" width="22.42578125" style="27" bestFit="1" customWidth="1"/>
    <col min="13062" max="13062" width="14" style="27" customWidth="1"/>
    <col min="13063" max="13063" width="4.85546875" style="27" bestFit="1" customWidth="1"/>
    <col min="13064" max="13064" width="38.42578125" style="27" bestFit="1" customWidth="1"/>
    <col min="13065" max="13065" width="22.7109375" style="27" bestFit="1" customWidth="1"/>
    <col min="13066" max="13066" width="7.85546875" style="27" bestFit="1" customWidth="1"/>
    <col min="13067" max="13067" width="5.85546875" style="27" bestFit="1" customWidth="1"/>
    <col min="13068" max="13068" width="6.140625" style="27" bestFit="1" customWidth="1"/>
    <col min="13069" max="13069" width="4.42578125" style="27" bestFit="1" customWidth="1"/>
    <col min="13070" max="13070" width="6.85546875" style="27" bestFit="1" customWidth="1"/>
    <col min="13071" max="13071" width="4.42578125" style="27" bestFit="1" customWidth="1"/>
    <col min="13072" max="13072" width="8.42578125" style="27" bestFit="1" customWidth="1"/>
    <col min="13073" max="13073" width="1.85546875" style="27" bestFit="1" customWidth="1"/>
    <col min="13074" max="13074" width="9.85546875" style="27" bestFit="1" customWidth="1"/>
    <col min="13075" max="13076" width="9" style="27"/>
    <col min="13077" max="13077" width="20.42578125" style="27" bestFit="1" customWidth="1"/>
    <col min="13078" max="13078" width="9.85546875" style="27" bestFit="1" customWidth="1"/>
    <col min="13079" max="13311" width="9" style="27"/>
    <col min="13312" max="13312" width="14.7109375" style="27" bestFit="1" customWidth="1"/>
    <col min="13313" max="13313" width="16" style="27" customWidth="1"/>
    <col min="13314" max="13314" width="12.85546875" style="27" bestFit="1" customWidth="1"/>
    <col min="13315" max="13316" width="10.140625" style="27" bestFit="1" customWidth="1"/>
    <col min="13317" max="13317" width="22.42578125" style="27" bestFit="1" customWidth="1"/>
    <col min="13318" max="13318" width="14" style="27" customWidth="1"/>
    <col min="13319" max="13319" width="4.85546875" style="27" bestFit="1" customWidth="1"/>
    <col min="13320" max="13320" width="38.42578125" style="27" bestFit="1" customWidth="1"/>
    <col min="13321" max="13321" width="22.7109375" style="27" bestFit="1" customWidth="1"/>
    <col min="13322" max="13322" width="7.85546875" style="27" bestFit="1" customWidth="1"/>
    <col min="13323" max="13323" width="5.85546875" style="27" bestFit="1" customWidth="1"/>
    <col min="13324" max="13324" width="6.140625" style="27" bestFit="1" customWidth="1"/>
    <col min="13325" max="13325" width="4.42578125" style="27" bestFit="1" customWidth="1"/>
    <col min="13326" max="13326" width="6.85546875" style="27" bestFit="1" customWidth="1"/>
    <col min="13327" max="13327" width="4.42578125" style="27" bestFit="1" customWidth="1"/>
    <col min="13328" max="13328" width="8.42578125" style="27" bestFit="1" customWidth="1"/>
    <col min="13329" max="13329" width="1.85546875" style="27" bestFit="1" customWidth="1"/>
    <col min="13330" max="13330" width="9.85546875" style="27" bestFit="1" customWidth="1"/>
    <col min="13331" max="13332" width="9" style="27"/>
    <col min="13333" max="13333" width="20.42578125" style="27" bestFit="1" customWidth="1"/>
    <col min="13334" max="13334" width="9.85546875" style="27" bestFit="1" customWidth="1"/>
    <col min="13335" max="13567" width="9" style="27"/>
    <col min="13568" max="13568" width="14.7109375" style="27" bestFit="1" customWidth="1"/>
    <col min="13569" max="13569" width="16" style="27" customWidth="1"/>
    <col min="13570" max="13570" width="12.85546875" style="27" bestFit="1" customWidth="1"/>
    <col min="13571" max="13572" width="10.140625" style="27" bestFit="1" customWidth="1"/>
    <col min="13573" max="13573" width="22.42578125" style="27" bestFit="1" customWidth="1"/>
    <col min="13574" max="13574" width="14" style="27" customWidth="1"/>
    <col min="13575" max="13575" width="4.85546875" style="27" bestFit="1" customWidth="1"/>
    <col min="13576" max="13576" width="38.42578125" style="27" bestFit="1" customWidth="1"/>
    <col min="13577" max="13577" width="22.7109375" style="27" bestFit="1" customWidth="1"/>
    <col min="13578" max="13578" width="7.85546875" style="27" bestFit="1" customWidth="1"/>
    <col min="13579" max="13579" width="5.85546875" style="27" bestFit="1" customWidth="1"/>
    <col min="13580" max="13580" width="6.140625" style="27" bestFit="1" customWidth="1"/>
    <col min="13581" max="13581" width="4.42578125" style="27" bestFit="1" customWidth="1"/>
    <col min="13582" max="13582" width="6.85546875" style="27" bestFit="1" customWidth="1"/>
    <col min="13583" max="13583" width="4.42578125" style="27" bestFit="1" customWidth="1"/>
    <col min="13584" max="13584" width="8.42578125" style="27" bestFit="1" customWidth="1"/>
    <col min="13585" max="13585" width="1.85546875" style="27" bestFit="1" customWidth="1"/>
    <col min="13586" max="13586" width="9.85546875" style="27" bestFit="1" customWidth="1"/>
    <col min="13587" max="13588" width="9" style="27"/>
    <col min="13589" max="13589" width="20.42578125" style="27" bestFit="1" customWidth="1"/>
    <col min="13590" max="13590" width="9.85546875" style="27" bestFit="1" customWidth="1"/>
    <col min="13591" max="13823" width="9" style="27"/>
    <col min="13824" max="13824" width="14.7109375" style="27" bestFit="1" customWidth="1"/>
    <col min="13825" max="13825" width="16" style="27" customWidth="1"/>
    <col min="13826" max="13826" width="12.85546875" style="27" bestFit="1" customWidth="1"/>
    <col min="13827" max="13828" width="10.140625" style="27" bestFit="1" customWidth="1"/>
    <col min="13829" max="13829" width="22.42578125" style="27" bestFit="1" customWidth="1"/>
    <col min="13830" max="13830" width="14" style="27" customWidth="1"/>
    <col min="13831" max="13831" width="4.85546875" style="27" bestFit="1" customWidth="1"/>
    <col min="13832" max="13832" width="38.42578125" style="27" bestFit="1" customWidth="1"/>
    <col min="13833" max="13833" width="22.7109375" style="27" bestFit="1" customWidth="1"/>
    <col min="13834" max="13834" width="7.85546875" style="27" bestFit="1" customWidth="1"/>
    <col min="13835" max="13835" width="5.85546875" style="27" bestFit="1" customWidth="1"/>
    <col min="13836" max="13836" width="6.140625" style="27" bestFit="1" customWidth="1"/>
    <col min="13837" max="13837" width="4.42578125" style="27" bestFit="1" customWidth="1"/>
    <col min="13838" max="13838" width="6.85546875" style="27" bestFit="1" customWidth="1"/>
    <col min="13839" max="13839" width="4.42578125" style="27" bestFit="1" customWidth="1"/>
    <col min="13840" max="13840" width="8.42578125" style="27" bestFit="1" customWidth="1"/>
    <col min="13841" max="13841" width="1.85546875" style="27" bestFit="1" customWidth="1"/>
    <col min="13842" max="13842" width="9.85546875" style="27" bestFit="1" customWidth="1"/>
    <col min="13843" max="13844" width="9" style="27"/>
    <col min="13845" max="13845" width="20.42578125" style="27" bestFit="1" customWidth="1"/>
    <col min="13846" max="13846" width="9.85546875" style="27" bestFit="1" customWidth="1"/>
    <col min="13847" max="14079" width="9" style="27"/>
    <col min="14080" max="14080" width="14.7109375" style="27" bestFit="1" customWidth="1"/>
    <col min="14081" max="14081" width="16" style="27" customWidth="1"/>
    <col min="14082" max="14082" width="12.85546875" style="27" bestFit="1" customWidth="1"/>
    <col min="14083" max="14084" width="10.140625" style="27" bestFit="1" customWidth="1"/>
    <col min="14085" max="14085" width="22.42578125" style="27" bestFit="1" customWidth="1"/>
    <col min="14086" max="14086" width="14" style="27" customWidth="1"/>
    <col min="14087" max="14087" width="4.85546875" style="27" bestFit="1" customWidth="1"/>
    <col min="14088" max="14088" width="38.42578125" style="27" bestFit="1" customWidth="1"/>
    <col min="14089" max="14089" width="22.7109375" style="27" bestFit="1" customWidth="1"/>
    <col min="14090" max="14090" width="7.85546875" style="27" bestFit="1" customWidth="1"/>
    <col min="14091" max="14091" width="5.85546875" style="27" bestFit="1" customWidth="1"/>
    <col min="14092" max="14092" width="6.140625" style="27" bestFit="1" customWidth="1"/>
    <col min="14093" max="14093" width="4.42578125" style="27" bestFit="1" customWidth="1"/>
    <col min="14094" max="14094" width="6.85546875" style="27" bestFit="1" customWidth="1"/>
    <col min="14095" max="14095" width="4.42578125" style="27" bestFit="1" customWidth="1"/>
    <col min="14096" max="14096" width="8.42578125" style="27" bestFit="1" customWidth="1"/>
    <col min="14097" max="14097" width="1.85546875" style="27" bestFit="1" customWidth="1"/>
    <col min="14098" max="14098" width="9.85546875" style="27" bestFit="1" customWidth="1"/>
    <col min="14099" max="14100" width="9" style="27"/>
    <col min="14101" max="14101" width="20.42578125" style="27" bestFit="1" customWidth="1"/>
    <col min="14102" max="14102" width="9.85546875" style="27" bestFit="1" customWidth="1"/>
    <col min="14103" max="14335" width="9" style="27"/>
    <col min="14336" max="14336" width="14.7109375" style="27" bestFit="1" customWidth="1"/>
    <col min="14337" max="14337" width="16" style="27" customWidth="1"/>
    <col min="14338" max="14338" width="12.85546875" style="27" bestFit="1" customWidth="1"/>
    <col min="14339" max="14340" width="10.140625" style="27" bestFit="1" customWidth="1"/>
    <col min="14341" max="14341" width="22.42578125" style="27" bestFit="1" customWidth="1"/>
    <col min="14342" max="14342" width="14" style="27" customWidth="1"/>
    <col min="14343" max="14343" width="4.85546875" style="27" bestFit="1" customWidth="1"/>
    <col min="14344" max="14344" width="38.42578125" style="27" bestFit="1" customWidth="1"/>
    <col min="14345" max="14345" width="22.7109375" style="27" bestFit="1" customWidth="1"/>
    <col min="14346" max="14346" width="7.85546875" style="27" bestFit="1" customWidth="1"/>
    <col min="14347" max="14347" width="5.85546875" style="27" bestFit="1" customWidth="1"/>
    <col min="14348" max="14348" width="6.140625" style="27" bestFit="1" customWidth="1"/>
    <col min="14349" max="14349" width="4.42578125" style="27" bestFit="1" customWidth="1"/>
    <col min="14350" max="14350" width="6.85546875" style="27" bestFit="1" customWidth="1"/>
    <col min="14351" max="14351" width="4.42578125" style="27" bestFit="1" customWidth="1"/>
    <col min="14352" max="14352" width="8.42578125" style="27" bestFit="1" customWidth="1"/>
    <col min="14353" max="14353" width="1.85546875" style="27" bestFit="1" customWidth="1"/>
    <col min="14354" max="14354" width="9.85546875" style="27" bestFit="1" customWidth="1"/>
    <col min="14355" max="14356" width="9" style="27"/>
    <col min="14357" max="14357" width="20.42578125" style="27" bestFit="1" customWidth="1"/>
    <col min="14358" max="14358" width="9.85546875" style="27" bestFit="1" customWidth="1"/>
    <col min="14359" max="14591" width="9" style="27"/>
    <col min="14592" max="14592" width="14.7109375" style="27" bestFit="1" customWidth="1"/>
    <col min="14593" max="14593" width="16" style="27" customWidth="1"/>
    <col min="14594" max="14594" width="12.85546875" style="27" bestFit="1" customWidth="1"/>
    <col min="14595" max="14596" width="10.140625" style="27" bestFit="1" customWidth="1"/>
    <col min="14597" max="14597" width="22.42578125" style="27" bestFit="1" customWidth="1"/>
    <col min="14598" max="14598" width="14" style="27" customWidth="1"/>
    <col min="14599" max="14599" width="4.85546875" style="27" bestFit="1" customWidth="1"/>
    <col min="14600" max="14600" width="38.42578125" style="27" bestFit="1" customWidth="1"/>
    <col min="14601" max="14601" width="22.7109375" style="27" bestFit="1" customWidth="1"/>
    <col min="14602" max="14602" width="7.85546875" style="27" bestFit="1" customWidth="1"/>
    <col min="14603" max="14603" width="5.85546875" style="27" bestFit="1" customWidth="1"/>
    <col min="14604" max="14604" width="6.140625" style="27" bestFit="1" customWidth="1"/>
    <col min="14605" max="14605" width="4.42578125" style="27" bestFit="1" customWidth="1"/>
    <col min="14606" max="14606" width="6.85546875" style="27" bestFit="1" customWidth="1"/>
    <col min="14607" max="14607" width="4.42578125" style="27" bestFit="1" customWidth="1"/>
    <col min="14608" max="14608" width="8.42578125" style="27" bestFit="1" customWidth="1"/>
    <col min="14609" max="14609" width="1.85546875" style="27" bestFit="1" customWidth="1"/>
    <col min="14610" max="14610" width="9.85546875" style="27" bestFit="1" customWidth="1"/>
    <col min="14611" max="14612" width="9" style="27"/>
    <col min="14613" max="14613" width="20.42578125" style="27" bestFit="1" customWidth="1"/>
    <col min="14614" max="14614" width="9.85546875" style="27" bestFit="1" customWidth="1"/>
    <col min="14615" max="14847" width="9" style="27"/>
    <col min="14848" max="14848" width="14.7109375" style="27" bestFit="1" customWidth="1"/>
    <col min="14849" max="14849" width="16" style="27" customWidth="1"/>
    <col min="14850" max="14850" width="12.85546875" style="27" bestFit="1" customWidth="1"/>
    <col min="14851" max="14852" width="10.140625" style="27" bestFit="1" customWidth="1"/>
    <col min="14853" max="14853" width="22.42578125" style="27" bestFit="1" customWidth="1"/>
    <col min="14854" max="14854" width="14" style="27" customWidth="1"/>
    <col min="14855" max="14855" width="4.85546875" style="27" bestFit="1" customWidth="1"/>
    <col min="14856" max="14856" width="38.42578125" style="27" bestFit="1" customWidth="1"/>
    <col min="14857" max="14857" width="22.7109375" style="27" bestFit="1" customWidth="1"/>
    <col min="14858" max="14858" width="7.85546875" style="27" bestFit="1" customWidth="1"/>
    <col min="14859" max="14859" width="5.85546875" style="27" bestFit="1" customWidth="1"/>
    <col min="14860" max="14860" width="6.140625" style="27" bestFit="1" customWidth="1"/>
    <col min="14861" max="14861" width="4.42578125" style="27" bestFit="1" customWidth="1"/>
    <col min="14862" max="14862" width="6.85546875" style="27" bestFit="1" customWidth="1"/>
    <col min="14863" max="14863" width="4.42578125" style="27" bestFit="1" customWidth="1"/>
    <col min="14864" max="14864" width="8.42578125" style="27" bestFit="1" customWidth="1"/>
    <col min="14865" max="14865" width="1.85546875" style="27" bestFit="1" customWidth="1"/>
    <col min="14866" max="14866" width="9.85546875" style="27" bestFit="1" customWidth="1"/>
    <col min="14867" max="14868" width="9" style="27"/>
    <col min="14869" max="14869" width="20.42578125" style="27" bestFit="1" customWidth="1"/>
    <col min="14870" max="14870" width="9.85546875" style="27" bestFit="1" customWidth="1"/>
    <col min="14871" max="15103" width="9" style="27"/>
    <col min="15104" max="15104" width="14.7109375" style="27" bestFit="1" customWidth="1"/>
    <col min="15105" max="15105" width="16" style="27" customWidth="1"/>
    <col min="15106" max="15106" width="12.85546875" style="27" bestFit="1" customWidth="1"/>
    <col min="15107" max="15108" width="10.140625" style="27" bestFit="1" customWidth="1"/>
    <col min="15109" max="15109" width="22.42578125" style="27" bestFit="1" customWidth="1"/>
    <col min="15110" max="15110" width="14" style="27" customWidth="1"/>
    <col min="15111" max="15111" width="4.85546875" style="27" bestFit="1" customWidth="1"/>
    <col min="15112" max="15112" width="38.42578125" style="27" bestFit="1" customWidth="1"/>
    <col min="15113" max="15113" width="22.7109375" style="27" bestFit="1" customWidth="1"/>
    <col min="15114" max="15114" width="7.85546875" style="27" bestFit="1" customWidth="1"/>
    <col min="15115" max="15115" width="5.85546875" style="27" bestFit="1" customWidth="1"/>
    <col min="15116" max="15116" width="6.140625" style="27" bestFit="1" customWidth="1"/>
    <col min="15117" max="15117" width="4.42578125" style="27" bestFit="1" customWidth="1"/>
    <col min="15118" max="15118" width="6.85546875" style="27" bestFit="1" customWidth="1"/>
    <col min="15119" max="15119" width="4.42578125" style="27" bestFit="1" customWidth="1"/>
    <col min="15120" max="15120" width="8.42578125" style="27" bestFit="1" customWidth="1"/>
    <col min="15121" max="15121" width="1.85546875" style="27" bestFit="1" customWidth="1"/>
    <col min="15122" max="15122" width="9.85546875" style="27" bestFit="1" customWidth="1"/>
    <col min="15123" max="15124" width="9" style="27"/>
    <col min="15125" max="15125" width="20.42578125" style="27" bestFit="1" customWidth="1"/>
    <col min="15126" max="15126" width="9.85546875" style="27" bestFit="1" customWidth="1"/>
    <col min="15127" max="15359" width="9" style="27"/>
    <col min="15360" max="15360" width="14.7109375" style="27" bestFit="1" customWidth="1"/>
    <col min="15361" max="15361" width="16" style="27" customWidth="1"/>
    <col min="15362" max="15362" width="12.85546875" style="27" bestFit="1" customWidth="1"/>
    <col min="15363" max="15364" width="10.140625" style="27" bestFit="1" customWidth="1"/>
    <col min="15365" max="15365" width="22.42578125" style="27" bestFit="1" customWidth="1"/>
    <col min="15366" max="15366" width="14" style="27" customWidth="1"/>
    <col min="15367" max="15367" width="4.85546875" style="27" bestFit="1" customWidth="1"/>
    <col min="15368" max="15368" width="38.42578125" style="27" bestFit="1" customWidth="1"/>
    <col min="15369" max="15369" width="22.7109375" style="27" bestFit="1" customWidth="1"/>
    <col min="15370" max="15370" width="7.85546875" style="27" bestFit="1" customWidth="1"/>
    <col min="15371" max="15371" width="5.85546875" style="27" bestFit="1" customWidth="1"/>
    <col min="15372" max="15372" width="6.140625" style="27" bestFit="1" customWidth="1"/>
    <col min="15373" max="15373" width="4.42578125" style="27" bestFit="1" customWidth="1"/>
    <col min="15374" max="15374" width="6.85546875" style="27" bestFit="1" customWidth="1"/>
    <col min="15375" max="15375" width="4.42578125" style="27" bestFit="1" customWidth="1"/>
    <col min="15376" max="15376" width="8.42578125" style="27" bestFit="1" customWidth="1"/>
    <col min="15377" max="15377" width="1.85546875" style="27" bestFit="1" customWidth="1"/>
    <col min="15378" max="15378" width="9.85546875" style="27" bestFit="1" customWidth="1"/>
    <col min="15379" max="15380" width="9" style="27"/>
    <col min="15381" max="15381" width="20.42578125" style="27" bestFit="1" customWidth="1"/>
    <col min="15382" max="15382" width="9.85546875" style="27" bestFit="1" customWidth="1"/>
    <col min="15383" max="15615" width="9" style="27"/>
    <col min="15616" max="15616" width="14.7109375" style="27" bestFit="1" customWidth="1"/>
    <col min="15617" max="15617" width="16" style="27" customWidth="1"/>
    <col min="15618" max="15618" width="12.85546875" style="27" bestFit="1" customWidth="1"/>
    <col min="15619" max="15620" width="10.140625" style="27" bestFit="1" customWidth="1"/>
    <col min="15621" max="15621" width="22.42578125" style="27" bestFit="1" customWidth="1"/>
    <col min="15622" max="15622" width="14" style="27" customWidth="1"/>
    <col min="15623" max="15623" width="4.85546875" style="27" bestFit="1" customWidth="1"/>
    <col min="15624" max="15624" width="38.42578125" style="27" bestFit="1" customWidth="1"/>
    <col min="15625" max="15625" width="22.7109375" style="27" bestFit="1" customWidth="1"/>
    <col min="15626" max="15626" width="7.85546875" style="27" bestFit="1" customWidth="1"/>
    <col min="15627" max="15627" width="5.85546875" style="27" bestFit="1" customWidth="1"/>
    <col min="15628" max="15628" width="6.140625" style="27" bestFit="1" customWidth="1"/>
    <col min="15629" max="15629" width="4.42578125" style="27" bestFit="1" customWidth="1"/>
    <col min="15630" max="15630" width="6.85546875" style="27" bestFit="1" customWidth="1"/>
    <col min="15631" max="15631" width="4.42578125" style="27" bestFit="1" customWidth="1"/>
    <col min="15632" max="15632" width="8.42578125" style="27" bestFit="1" customWidth="1"/>
    <col min="15633" max="15633" width="1.85546875" style="27" bestFit="1" customWidth="1"/>
    <col min="15634" max="15634" width="9.85546875" style="27" bestFit="1" customWidth="1"/>
    <col min="15635" max="15636" width="9" style="27"/>
    <col min="15637" max="15637" width="20.42578125" style="27" bestFit="1" customWidth="1"/>
    <col min="15638" max="15638" width="9.85546875" style="27" bestFit="1" customWidth="1"/>
    <col min="15639" max="15871" width="9" style="27"/>
    <col min="15872" max="15872" width="14.7109375" style="27" bestFit="1" customWidth="1"/>
    <col min="15873" max="15873" width="16" style="27" customWidth="1"/>
    <col min="15874" max="15874" width="12.85546875" style="27" bestFit="1" customWidth="1"/>
    <col min="15875" max="15876" width="10.140625" style="27" bestFit="1" customWidth="1"/>
    <col min="15877" max="15877" width="22.42578125" style="27" bestFit="1" customWidth="1"/>
    <col min="15878" max="15878" width="14" style="27" customWidth="1"/>
    <col min="15879" max="15879" width="4.85546875" style="27" bestFit="1" customWidth="1"/>
    <col min="15880" max="15880" width="38.42578125" style="27" bestFit="1" customWidth="1"/>
    <col min="15881" max="15881" width="22.7109375" style="27" bestFit="1" customWidth="1"/>
    <col min="15882" max="15882" width="7.85546875" style="27" bestFit="1" customWidth="1"/>
    <col min="15883" max="15883" width="5.85546875" style="27" bestFit="1" customWidth="1"/>
    <col min="15884" max="15884" width="6.140625" style="27" bestFit="1" customWidth="1"/>
    <col min="15885" max="15885" width="4.42578125" style="27" bestFit="1" customWidth="1"/>
    <col min="15886" max="15886" width="6.85546875" style="27" bestFit="1" customWidth="1"/>
    <col min="15887" max="15887" width="4.42578125" style="27" bestFit="1" customWidth="1"/>
    <col min="15888" max="15888" width="8.42578125" style="27" bestFit="1" customWidth="1"/>
    <col min="15889" max="15889" width="1.85546875" style="27" bestFit="1" customWidth="1"/>
    <col min="15890" max="15890" width="9.85546875" style="27" bestFit="1" customWidth="1"/>
    <col min="15891" max="15892" width="9" style="27"/>
    <col min="15893" max="15893" width="20.42578125" style="27" bestFit="1" customWidth="1"/>
    <col min="15894" max="15894" width="9.85546875" style="27" bestFit="1" customWidth="1"/>
    <col min="15895" max="16127" width="9" style="27"/>
    <col min="16128" max="16128" width="14.7109375" style="27" bestFit="1" customWidth="1"/>
    <col min="16129" max="16129" width="16" style="27" customWidth="1"/>
    <col min="16130" max="16130" width="12.85546875" style="27" bestFit="1" customWidth="1"/>
    <col min="16131" max="16132" width="10.140625" style="27" bestFit="1" customWidth="1"/>
    <col min="16133" max="16133" width="22.42578125" style="27" bestFit="1" customWidth="1"/>
    <col min="16134" max="16134" width="14" style="27" customWidth="1"/>
    <col min="16135" max="16135" width="4.85546875" style="27" bestFit="1" customWidth="1"/>
    <col min="16136" max="16136" width="38.42578125" style="27" bestFit="1" customWidth="1"/>
    <col min="16137" max="16137" width="22.7109375" style="27" bestFit="1" customWidth="1"/>
    <col min="16138" max="16138" width="7.85546875" style="27" bestFit="1" customWidth="1"/>
    <col min="16139" max="16139" width="5.85546875" style="27" bestFit="1" customWidth="1"/>
    <col min="16140" max="16140" width="6.140625" style="27" bestFit="1" customWidth="1"/>
    <col min="16141" max="16141" width="4.42578125" style="27" bestFit="1" customWidth="1"/>
    <col min="16142" max="16142" width="6.85546875" style="27" bestFit="1" customWidth="1"/>
    <col min="16143" max="16143" width="4.42578125" style="27" bestFit="1" customWidth="1"/>
    <col min="16144" max="16144" width="8.42578125" style="27" bestFit="1" customWidth="1"/>
    <col min="16145" max="16145" width="1.85546875" style="27" bestFit="1" customWidth="1"/>
    <col min="16146" max="16146" width="9.85546875" style="27" bestFit="1" customWidth="1"/>
    <col min="16147" max="16148" width="9" style="27"/>
    <col min="16149" max="16149" width="20.42578125" style="27" bestFit="1" customWidth="1"/>
    <col min="16150" max="16150" width="9.85546875" style="27" bestFit="1" customWidth="1"/>
    <col min="16151" max="16384" width="9" style="27"/>
  </cols>
  <sheetData>
    <row r="1" spans="1:11" ht="27" thickTop="1" thickBot="1">
      <c r="A1" s="243" t="s">
        <v>31</v>
      </c>
      <c r="B1" s="41">
        <v>30000</v>
      </c>
      <c r="C1" s="41">
        <f>B1</f>
        <v>30000</v>
      </c>
      <c r="D1" s="215" t="s">
        <v>32</v>
      </c>
      <c r="E1" s="215"/>
      <c r="F1" s="41"/>
      <c r="G1" s="42"/>
      <c r="H1" s="57" t="s">
        <v>33</v>
      </c>
      <c r="I1" s="56" t="s">
        <v>34</v>
      </c>
    </row>
    <row r="2" spans="1:11" ht="17.25" thickTop="1" thickBot="1">
      <c r="A2" s="234"/>
      <c r="B2" s="58">
        <f>IF(B1&lt;=5000,"0",IF(B1&lt;=20000,(B1-5000)*0.1,IF(B1&lt;=40000,(B1-20000)*0.15+1500,IF(B1&lt;=10000000,(B1-40000)*0.2+4500,IF(B1&gt;10000000,(B1-10000000)*0.25+1996500,"000")))))</f>
        <v>3000</v>
      </c>
      <c r="C2" s="59">
        <f>IF(C1&lt;=5000,"0",IF(C1&lt;=20000,(C1*0.1)-500,IF(C1&lt;=40000,(C1*0.15)-1500,IF(C1&lt;=10000000,(C1*0.2)-3500,IF(C1&gt;10000000,(C1*25%)-503500,"000")))))</f>
        <v>3000</v>
      </c>
      <c r="D2" s="14" t="s">
        <v>35</v>
      </c>
      <c r="E2" s="14" t="s">
        <v>0</v>
      </c>
      <c r="F2" s="15" t="s">
        <v>36</v>
      </c>
      <c r="G2" s="42"/>
      <c r="H2" s="56">
        <v>2011</v>
      </c>
      <c r="I2" s="56" t="s">
        <v>37</v>
      </c>
    </row>
    <row r="3" spans="1:11" ht="17.25" thickTop="1" thickBot="1">
      <c r="A3" s="41"/>
      <c r="B3" s="41"/>
      <c r="C3" s="41"/>
      <c r="D3" s="14">
        <v>0</v>
      </c>
      <c r="E3" s="14">
        <v>5000</v>
      </c>
      <c r="F3" s="14" t="s">
        <v>38</v>
      </c>
      <c r="G3" s="42"/>
      <c r="H3" s="56">
        <v>2012</v>
      </c>
      <c r="I3" s="56" t="s">
        <v>37</v>
      </c>
    </row>
    <row r="4" spans="1:11" ht="17.25" thickTop="1" thickBot="1">
      <c r="A4" s="240" t="s">
        <v>39</v>
      </c>
      <c r="B4" s="54">
        <f>B2</f>
        <v>3000</v>
      </c>
      <c r="C4" s="41"/>
      <c r="D4" s="14">
        <v>5001</v>
      </c>
      <c r="E4" s="14">
        <v>20000</v>
      </c>
      <c r="F4" s="16" t="s">
        <v>40</v>
      </c>
      <c r="G4" s="42"/>
    </row>
    <row r="5" spans="1:11" ht="17.25" thickTop="1" thickBot="1">
      <c r="A5" s="234"/>
      <c r="B5" s="55">
        <f>IF(B4&lt;=1500,(B4+500)/0.1,IF(B4&lt;=4500,(B4+1500)/0.15,IF(B4&lt;=1996500,(B4+3500)/0.2,IF(B4&gt;1996500,(B4+503500)/0.25,"LOL"))))</f>
        <v>30000</v>
      </c>
      <c r="C5" s="41"/>
      <c r="D5" s="14">
        <v>20001</v>
      </c>
      <c r="E5" s="14">
        <v>40000</v>
      </c>
      <c r="F5" s="16" t="s">
        <v>41</v>
      </c>
      <c r="G5" s="42"/>
      <c r="H5" s="208" t="s">
        <v>156</v>
      </c>
      <c r="I5" s="208"/>
      <c r="J5" s="208"/>
      <c r="K5" s="208"/>
    </row>
    <row r="6" spans="1:11" ht="17.25" thickTop="1" thickBot="1">
      <c r="A6" s="142"/>
      <c r="B6" s="142" t="s">
        <v>42</v>
      </c>
      <c r="C6" s="142"/>
      <c r="D6" s="14">
        <v>40001</v>
      </c>
      <c r="E6" s="17">
        <v>10000000</v>
      </c>
      <c r="F6" s="16" t="s">
        <v>43</v>
      </c>
      <c r="G6" s="42"/>
      <c r="H6" s="208"/>
      <c r="I6" s="208"/>
      <c r="J6" s="208"/>
      <c r="K6" s="208"/>
    </row>
    <row r="7" spans="1:11" ht="33" thickTop="1" thickBot="1">
      <c r="A7" s="247" t="s">
        <v>84</v>
      </c>
      <c r="B7" s="61" t="s">
        <v>85</v>
      </c>
      <c r="C7" s="143"/>
      <c r="D7" s="14">
        <v>10000001</v>
      </c>
      <c r="E7" s="17" t="s">
        <v>44</v>
      </c>
      <c r="F7" s="16" t="s">
        <v>45</v>
      </c>
      <c r="G7" s="42"/>
      <c r="H7" s="208"/>
      <c r="I7" s="208"/>
      <c r="J7" s="208"/>
      <c r="K7" s="208"/>
    </row>
    <row r="8" spans="1:11" ht="33" thickTop="1" thickBot="1">
      <c r="A8" s="248"/>
      <c r="B8" s="62" t="s">
        <v>86</v>
      </c>
      <c r="C8" s="143"/>
      <c r="D8" s="41"/>
      <c r="E8" s="41"/>
      <c r="F8" s="41"/>
      <c r="G8" s="42"/>
      <c r="H8" s="208"/>
      <c r="I8" s="208"/>
      <c r="J8" s="208"/>
      <c r="K8" s="208"/>
    </row>
    <row r="9" spans="1:11" ht="17.25" customHeight="1" thickTop="1" thickBot="1">
      <c r="A9" s="245">
        <f>B9/B10</f>
        <v>0.24999999812500001</v>
      </c>
      <c r="B9" s="68">
        <v>0.33333332999999998</v>
      </c>
      <c r="C9" s="143"/>
      <c r="D9" s="241" t="s">
        <v>36</v>
      </c>
      <c r="E9" s="242"/>
      <c r="F9" s="41"/>
      <c r="G9" s="42"/>
      <c r="H9" s="208"/>
      <c r="I9" s="208"/>
      <c r="J9" s="208"/>
      <c r="K9" s="208"/>
    </row>
    <row r="10" spans="1:11" ht="17.25" thickTop="1" thickBot="1">
      <c r="A10" s="246"/>
      <c r="B10" s="63">
        <f>B9+1</f>
        <v>1.3333333299999999</v>
      </c>
      <c r="C10" s="143"/>
      <c r="D10" s="18" t="s">
        <v>35</v>
      </c>
      <c r="E10" s="18" t="s">
        <v>0</v>
      </c>
      <c r="F10" s="19" t="s">
        <v>32</v>
      </c>
      <c r="G10" s="42"/>
      <c r="H10" s="208"/>
      <c r="I10" s="208"/>
      <c r="J10" s="208"/>
      <c r="K10" s="208"/>
    </row>
    <row r="11" spans="1:11" ht="17.25" customHeight="1" thickTop="1" thickBot="1">
      <c r="A11" s="64"/>
      <c r="B11" s="64"/>
      <c r="C11" s="143"/>
      <c r="D11" s="18">
        <v>0</v>
      </c>
      <c r="E11" s="18">
        <v>1500</v>
      </c>
      <c r="F11" s="20" t="s">
        <v>46</v>
      </c>
      <c r="G11" s="42"/>
      <c r="H11" s="208"/>
      <c r="I11" s="208"/>
      <c r="J11" s="208"/>
      <c r="K11" s="208"/>
    </row>
    <row r="12" spans="1:11" ht="33" thickTop="1" thickBot="1">
      <c r="A12" s="244" t="s">
        <v>85</v>
      </c>
      <c r="B12" s="65" t="s">
        <v>89</v>
      </c>
      <c r="C12" s="143"/>
      <c r="D12" s="18">
        <v>1501</v>
      </c>
      <c r="E12" s="18">
        <v>4500</v>
      </c>
      <c r="F12" s="20" t="s">
        <v>47</v>
      </c>
      <c r="G12" s="42"/>
      <c r="H12" s="208"/>
      <c r="I12" s="208"/>
      <c r="J12" s="208"/>
      <c r="K12" s="208"/>
    </row>
    <row r="13" spans="1:11" ht="33" thickTop="1" thickBot="1">
      <c r="A13" s="244"/>
      <c r="B13" s="66" t="s">
        <v>91</v>
      </c>
      <c r="C13" s="143"/>
      <c r="D13" s="18">
        <v>4501</v>
      </c>
      <c r="E13" s="18">
        <v>1996500</v>
      </c>
      <c r="F13" s="20" t="s">
        <v>48</v>
      </c>
      <c r="G13" s="42"/>
    </row>
    <row r="14" spans="1:11" ht="17.25" thickTop="1" thickBot="1">
      <c r="A14" s="245">
        <f>B14/B15</f>
        <v>0.25</v>
      </c>
      <c r="B14" s="69">
        <v>0.2</v>
      </c>
      <c r="C14" s="143"/>
      <c r="D14" s="18">
        <v>1996501</v>
      </c>
      <c r="E14" s="21" t="s">
        <v>44</v>
      </c>
      <c r="F14" s="20" t="s">
        <v>49</v>
      </c>
      <c r="G14" s="42"/>
    </row>
    <row r="15" spans="1:11" ht="16.5" customHeight="1" thickTop="1" thickBot="1">
      <c r="A15" s="246"/>
      <c r="B15" s="67">
        <f>1-B14</f>
        <v>0.8</v>
      </c>
      <c r="C15" s="143"/>
      <c r="D15" s="41"/>
      <c r="E15" s="41"/>
      <c r="F15" s="41"/>
      <c r="G15" s="42"/>
    </row>
    <row r="16" spans="1:11" ht="17.25" customHeight="1" thickTop="1">
      <c r="A16" s="41"/>
      <c r="B16" s="41" t="s">
        <v>42</v>
      </c>
      <c r="C16" s="143"/>
      <c r="D16" s="41"/>
      <c r="E16" s="41"/>
      <c r="F16" s="41"/>
    </row>
  </sheetData>
  <mergeCells count="9">
    <mergeCell ref="A1:A2"/>
    <mergeCell ref="D1:E1"/>
    <mergeCell ref="A4:A5"/>
    <mergeCell ref="D9:E9"/>
    <mergeCell ref="H5:K12"/>
    <mergeCell ref="A12:A13"/>
    <mergeCell ref="A14:A15"/>
    <mergeCell ref="A7:A8"/>
    <mergeCell ref="A9:A10"/>
  </mergeCells>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2"/>
  <sheetViews>
    <sheetView rightToLeft="1" topLeftCell="A4" workbookViewId="0">
      <selection activeCell="J31" sqref="J31"/>
    </sheetView>
  </sheetViews>
  <sheetFormatPr defaultRowHeight="15"/>
  <cols>
    <col min="1" max="1" width="2.28515625" bestFit="1" customWidth="1"/>
    <col min="2" max="2" width="17.5703125" bestFit="1" customWidth="1"/>
    <col min="3" max="3" width="24" customWidth="1"/>
    <col min="13" max="13" width="7.85546875" style="12" customWidth="1"/>
    <col min="14" max="14" width="8.5703125" bestFit="1" customWidth="1"/>
    <col min="16" max="16" width="13" bestFit="1" customWidth="1"/>
  </cols>
  <sheetData>
    <row r="1" spans="1:16">
      <c r="C1" s="11" t="s">
        <v>27</v>
      </c>
      <c r="D1" s="11"/>
      <c r="E1" s="11"/>
      <c r="F1" s="11"/>
      <c r="G1" s="11"/>
      <c r="H1" s="11"/>
    </row>
    <row r="2" spans="1:16" ht="19.5" thickBot="1">
      <c r="C2" s="253" t="s">
        <v>25</v>
      </c>
      <c r="D2" s="253"/>
      <c r="E2" s="253"/>
      <c r="F2" s="253"/>
      <c r="G2" s="253"/>
    </row>
    <row r="3" spans="1:16" ht="16.5" thickTop="1">
      <c r="A3" s="254" t="s">
        <v>7</v>
      </c>
      <c r="B3" s="251" t="s">
        <v>8</v>
      </c>
      <c r="C3" s="251" t="s">
        <v>9</v>
      </c>
      <c r="D3" s="256" t="s">
        <v>16</v>
      </c>
      <c r="E3" s="249" t="s">
        <v>10</v>
      </c>
      <c r="F3" s="250"/>
      <c r="G3" s="251" t="s">
        <v>10</v>
      </c>
      <c r="H3" s="251" t="s">
        <v>11</v>
      </c>
      <c r="I3" s="251" t="s">
        <v>12</v>
      </c>
      <c r="J3" s="249" t="s">
        <v>13</v>
      </c>
      <c r="K3" s="250"/>
      <c r="L3" s="251" t="s">
        <v>14</v>
      </c>
      <c r="M3" s="251" t="s">
        <v>30</v>
      </c>
      <c r="N3" s="251" t="s">
        <v>15</v>
      </c>
      <c r="O3" s="251" t="s">
        <v>28</v>
      </c>
      <c r="P3" s="251" t="s">
        <v>29</v>
      </c>
    </row>
    <row r="4" spans="1:16" ht="32.25" thickBot="1">
      <c r="A4" s="255"/>
      <c r="B4" s="252"/>
      <c r="C4" s="252"/>
      <c r="D4" s="257"/>
      <c r="E4" s="2" t="s">
        <v>17</v>
      </c>
      <c r="F4" s="2" t="s">
        <v>18</v>
      </c>
      <c r="G4" s="252"/>
      <c r="H4" s="252"/>
      <c r="I4" s="252"/>
      <c r="J4" s="2" t="s">
        <v>19</v>
      </c>
      <c r="K4" s="2" t="s">
        <v>20</v>
      </c>
      <c r="L4" s="252"/>
      <c r="M4" s="252"/>
      <c r="N4" s="252"/>
      <c r="O4" s="252"/>
      <c r="P4" s="252"/>
    </row>
    <row r="5" spans="1:16" ht="22.5" thickTop="1" thickBot="1">
      <c r="A5" s="3">
        <v>1</v>
      </c>
      <c r="B5" s="4" t="s">
        <v>21</v>
      </c>
      <c r="C5" s="5">
        <v>41275</v>
      </c>
      <c r="D5" s="7">
        <v>5</v>
      </c>
      <c r="E5" s="6">
        <v>1000</v>
      </c>
      <c r="F5" s="6">
        <v>1000</v>
      </c>
      <c r="G5" s="6">
        <f>(F5+E5)*2.5</f>
        <v>5000</v>
      </c>
      <c r="H5" s="6">
        <v>50000</v>
      </c>
      <c r="I5" s="6">
        <f>H5+G5</f>
        <v>55000</v>
      </c>
      <c r="J5" s="6">
        <f>(E5*0.14+F5*0.11)*D5</f>
        <v>1250</v>
      </c>
      <c r="K5" s="6">
        <f>4000/12*D5</f>
        <v>1666.6666666666665</v>
      </c>
      <c r="L5" s="6">
        <f>K5+J5</f>
        <v>2916.6666666666665</v>
      </c>
      <c r="M5" s="13">
        <f>I5-L5</f>
        <v>52083.333333333336</v>
      </c>
      <c r="N5" s="6">
        <f>5000/12*D5</f>
        <v>2083.3333333333335</v>
      </c>
      <c r="O5" s="6">
        <f>M5-N5</f>
        <v>50000</v>
      </c>
      <c r="P5" s="1">
        <f>IF(O5&lt;0,"000",IF(O5&lt;=15000,(O5*0.1),IF(O5&lt;=35000,(O5*0.15)-750,IF(O5&gt;35000,(O5*0.2)-2500,"000"))))</f>
        <v>7500</v>
      </c>
    </row>
    <row r="6" spans="1:16" ht="22.5" thickTop="1" thickBot="1">
      <c r="A6" s="3">
        <v>2</v>
      </c>
      <c r="B6" s="8" t="s">
        <v>22</v>
      </c>
      <c r="C6" s="5">
        <v>41275</v>
      </c>
      <c r="D6" s="10">
        <v>5</v>
      </c>
      <c r="E6" s="9">
        <v>400</v>
      </c>
      <c r="F6" s="9">
        <v>200</v>
      </c>
      <c r="G6" s="6">
        <f t="shared" ref="G6:G7" si="0">(F6+E6)*2.5</f>
        <v>1500</v>
      </c>
      <c r="H6" s="6">
        <v>40000</v>
      </c>
      <c r="I6" s="6">
        <f t="shared" ref="I6:I7" si="1">H6+G6</f>
        <v>41500</v>
      </c>
      <c r="J6" s="6">
        <f t="shared" ref="J6:J7" si="2">(E6*0.14+F6*0.11)*D6</f>
        <v>390</v>
      </c>
      <c r="K6" s="6">
        <f>4000/12*D6</f>
        <v>1666.6666666666665</v>
      </c>
      <c r="L6" s="6">
        <f t="shared" ref="L6:L7" si="3">K6+J6</f>
        <v>2056.6666666666665</v>
      </c>
      <c r="M6" s="13">
        <f t="shared" ref="M6:M7" si="4">I6-L6</f>
        <v>39443.333333333336</v>
      </c>
      <c r="N6" s="6">
        <f t="shared" ref="N6:N7" si="5">5000/12*D6</f>
        <v>2083.3333333333335</v>
      </c>
      <c r="O6" s="6">
        <f t="shared" ref="O6:O7" si="6">M6-N6</f>
        <v>37360</v>
      </c>
      <c r="P6" s="1">
        <f t="shared" ref="P6:P7" si="7">IF(O6&lt;0,"000",IF(O6&lt;=15000,(O6*0.1),IF(O6&lt;=35000,(O6*0.15)-750,IF(O6&gt;35000,(O6*0.2)-2500,"000"))))</f>
        <v>4972</v>
      </c>
    </row>
    <row r="7" spans="1:16" ht="22.5" thickTop="1" thickBot="1">
      <c r="A7" s="3">
        <v>3</v>
      </c>
      <c r="B7" s="8" t="s">
        <v>23</v>
      </c>
      <c r="C7" s="5">
        <v>41275</v>
      </c>
      <c r="D7" s="7">
        <v>5</v>
      </c>
      <c r="E7" s="9">
        <v>800</v>
      </c>
      <c r="F7" s="9">
        <v>750</v>
      </c>
      <c r="G7" s="6">
        <f t="shared" si="0"/>
        <v>3875</v>
      </c>
      <c r="H7" s="6">
        <v>80000</v>
      </c>
      <c r="I7" s="6">
        <f t="shared" si="1"/>
        <v>83875</v>
      </c>
      <c r="J7" s="6">
        <f t="shared" si="2"/>
        <v>972.5</v>
      </c>
      <c r="K7" s="6">
        <f>4000/12*D7</f>
        <v>1666.6666666666665</v>
      </c>
      <c r="L7" s="6">
        <f t="shared" si="3"/>
        <v>2639.1666666666665</v>
      </c>
      <c r="M7" s="13">
        <f t="shared" si="4"/>
        <v>81235.833333333328</v>
      </c>
      <c r="N7" s="6">
        <f t="shared" si="5"/>
        <v>2083.3333333333335</v>
      </c>
      <c r="O7" s="6">
        <f t="shared" si="6"/>
        <v>79152.5</v>
      </c>
      <c r="P7" s="1">
        <f t="shared" si="7"/>
        <v>13330.5</v>
      </c>
    </row>
    <row r="8" spans="1:16" ht="15.75" thickTop="1"/>
    <row r="9" spans="1:16" ht="19.5" thickBot="1">
      <c r="C9" s="253" t="s">
        <v>24</v>
      </c>
      <c r="D9" s="253"/>
      <c r="E9" s="253"/>
      <c r="F9" s="253"/>
      <c r="G9" s="253"/>
    </row>
    <row r="10" spans="1:16" ht="16.5" thickTop="1">
      <c r="A10" s="254" t="str">
        <f t="shared" ref="A10" si="8">A3</f>
        <v>م</v>
      </c>
      <c r="B10" s="251" t="s">
        <v>8</v>
      </c>
      <c r="C10" s="251" t="s">
        <v>9</v>
      </c>
      <c r="D10" s="256" t="s">
        <v>16</v>
      </c>
      <c r="E10" s="249" t="s">
        <v>10</v>
      </c>
      <c r="F10" s="250"/>
      <c r="G10" s="251" t="s">
        <v>10</v>
      </c>
      <c r="H10" s="251" t="s">
        <v>11</v>
      </c>
      <c r="I10" s="251" t="s">
        <v>12</v>
      </c>
      <c r="J10" s="249" t="s">
        <v>13</v>
      </c>
      <c r="K10" s="250"/>
      <c r="L10" s="251" t="s">
        <v>14</v>
      </c>
      <c r="M10" s="251" t="s">
        <v>30</v>
      </c>
      <c r="N10" s="251" t="s">
        <v>15</v>
      </c>
      <c r="O10" s="251" t="s">
        <v>28</v>
      </c>
      <c r="P10" s="251" t="s">
        <v>29</v>
      </c>
    </row>
    <row r="11" spans="1:16" ht="32.25" thickBot="1">
      <c r="A11" s="255"/>
      <c r="B11" s="252"/>
      <c r="C11" s="252"/>
      <c r="D11" s="257"/>
      <c r="E11" s="2" t="s">
        <v>17</v>
      </c>
      <c r="F11" s="2" t="s">
        <v>18</v>
      </c>
      <c r="G11" s="252"/>
      <c r="H11" s="252"/>
      <c r="I11" s="252"/>
      <c r="J11" s="2" t="s">
        <v>19</v>
      </c>
      <c r="K11" s="2" t="s">
        <v>20</v>
      </c>
      <c r="L11" s="252"/>
      <c r="M11" s="252"/>
      <c r="N11" s="252"/>
      <c r="O11" s="252"/>
      <c r="P11" s="252"/>
    </row>
    <row r="12" spans="1:16" ht="22.5" thickTop="1" thickBot="1">
      <c r="A12" s="3">
        <v>1</v>
      </c>
      <c r="B12" s="4" t="s">
        <v>21</v>
      </c>
      <c r="C12" s="5">
        <v>41275</v>
      </c>
      <c r="D12" s="7">
        <v>3</v>
      </c>
      <c r="E12" s="6">
        <f t="shared" ref="E12:F14" si="9">E5</f>
        <v>1000</v>
      </c>
      <c r="F12" s="6">
        <f t="shared" si="9"/>
        <v>1000</v>
      </c>
      <c r="G12" s="6">
        <f>(F12+E12)*2.5</f>
        <v>5000</v>
      </c>
      <c r="H12" s="6">
        <f t="shared" ref="H12:H14" si="10">H5</f>
        <v>50000</v>
      </c>
      <c r="I12" s="6">
        <f>H12+G12</f>
        <v>55000</v>
      </c>
      <c r="J12" s="6">
        <f>(E12*0.14+F12*0.11)*D12</f>
        <v>750</v>
      </c>
      <c r="K12" s="6">
        <f>4000/12*D12</f>
        <v>1000</v>
      </c>
      <c r="L12" s="6">
        <f>K12+J12</f>
        <v>1750</v>
      </c>
      <c r="M12" s="13">
        <f>I12-L12</f>
        <v>53250</v>
      </c>
      <c r="N12" s="6">
        <f>5000/12*D12</f>
        <v>1250</v>
      </c>
      <c r="O12" s="6">
        <f>M12-N12</f>
        <v>52000</v>
      </c>
      <c r="P12" s="1">
        <f>IF(O12&lt;0,"000",IF(O12&lt;=25000,(O12*0.1),IF(O12&lt;=40000,(O12*0.15)-1250,IF(O12&lt;=245000,(O12*0.2)-3250,IF(O12&gt;245000,(O12*0.25)-15500,"000")))))</f>
        <v>7150</v>
      </c>
    </row>
    <row r="13" spans="1:16" ht="22.5" thickTop="1" thickBot="1">
      <c r="A13" s="3">
        <v>2</v>
      </c>
      <c r="B13" s="8" t="s">
        <v>22</v>
      </c>
      <c r="C13" s="5">
        <v>41275</v>
      </c>
      <c r="D13" s="10">
        <v>3</v>
      </c>
      <c r="E13" s="9">
        <f t="shared" si="9"/>
        <v>400</v>
      </c>
      <c r="F13" s="9">
        <f t="shared" si="9"/>
        <v>200</v>
      </c>
      <c r="G13" s="6">
        <f t="shared" ref="G13:G14" si="11">(F13+E13)*2.5</f>
        <v>1500</v>
      </c>
      <c r="H13" s="6">
        <f t="shared" si="10"/>
        <v>40000</v>
      </c>
      <c r="I13" s="6">
        <f t="shared" ref="I13:I14" si="12">H13+G13</f>
        <v>41500</v>
      </c>
      <c r="J13" s="6">
        <f t="shared" ref="J13:J14" si="13">(E13*0.14+F13*0.11)*D13</f>
        <v>234</v>
      </c>
      <c r="K13" s="6">
        <f>4000/12*D13</f>
        <v>1000</v>
      </c>
      <c r="L13" s="6">
        <f t="shared" ref="L13:L14" si="14">K13+J13</f>
        <v>1234</v>
      </c>
      <c r="M13" s="13">
        <f t="shared" ref="M13:M14" si="15">I13-L13</f>
        <v>40266</v>
      </c>
      <c r="N13" s="6">
        <f t="shared" ref="N13:N14" si="16">5000/12*D13</f>
        <v>1250</v>
      </c>
      <c r="O13" s="6">
        <f t="shared" ref="O13:O14" si="17">M13-N13</f>
        <v>39016</v>
      </c>
      <c r="P13" s="1">
        <f t="shared" ref="P13:P14" si="18">IF(O13&lt;0,"000",IF(O13&lt;=25000,(O13*0.1),IF(O13&lt;=40000,(O13*0.15)-1250,IF(O13&lt;=245000,(O13*0.2)-3250,IF(O13&gt;245000,(O13*0.25)-15500,"000")))))</f>
        <v>4602.3999999999996</v>
      </c>
    </row>
    <row r="14" spans="1:16" ht="22.5" thickTop="1" thickBot="1">
      <c r="A14" s="3">
        <v>3</v>
      </c>
      <c r="B14" s="8" t="s">
        <v>23</v>
      </c>
      <c r="C14" s="5">
        <v>41275</v>
      </c>
      <c r="D14" s="7">
        <v>3</v>
      </c>
      <c r="E14" s="9">
        <f t="shared" si="9"/>
        <v>800</v>
      </c>
      <c r="F14" s="9">
        <f t="shared" si="9"/>
        <v>750</v>
      </c>
      <c r="G14" s="6">
        <f t="shared" si="11"/>
        <v>3875</v>
      </c>
      <c r="H14" s="6">
        <f t="shared" si="10"/>
        <v>80000</v>
      </c>
      <c r="I14" s="6">
        <f t="shared" si="12"/>
        <v>83875</v>
      </c>
      <c r="J14" s="6">
        <f t="shared" si="13"/>
        <v>583.5</v>
      </c>
      <c r="K14" s="6">
        <f>4000/12*D14</f>
        <v>1000</v>
      </c>
      <c r="L14" s="6">
        <f t="shared" si="14"/>
        <v>1583.5</v>
      </c>
      <c r="M14" s="13">
        <f t="shared" si="15"/>
        <v>82291.5</v>
      </c>
      <c r="N14" s="6">
        <f t="shared" si="16"/>
        <v>1250</v>
      </c>
      <c r="O14" s="6">
        <f t="shared" si="17"/>
        <v>81041.5</v>
      </c>
      <c r="P14" s="1">
        <f t="shared" si="18"/>
        <v>12958.300000000001</v>
      </c>
    </row>
    <row r="15" spans="1:16" ht="15.75" thickTop="1"/>
    <row r="16" spans="1:16" ht="19.5" thickBot="1">
      <c r="C16" s="253" t="s">
        <v>26</v>
      </c>
      <c r="D16" s="253"/>
      <c r="E16" s="253"/>
      <c r="F16" s="253"/>
      <c r="G16" s="253"/>
    </row>
    <row r="17" spans="1:16" ht="16.5" thickTop="1">
      <c r="A17" s="254" t="s">
        <v>7</v>
      </c>
      <c r="B17" s="251" t="s">
        <v>8</v>
      </c>
      <c r="C17" s="251" t="s">
        <v>9</v>
      </c>
      <c r="D17" s="256" t="s">
        <v>16</v>
      </c>
      <c r="E17" s="249" t="s">
        <v>10</v>
      </c>
      <c r="F17" s="250"/>
      <c r="G17" s="251" t="s">
        <v>10</v>
      </c>
      <c r="H17" s="251" t="s">
        <v>11</v>
      </c>
      <c r="I17" s="251" t="s">
        <v>12</v>
      </c>
      <c r="J17" s="249" t="s">
        <v>13</v>
      </c>
      <c r="K17" s="250"/>
      <c r="L17" s="251" t="s">
        <v>14</v>
      </c>
      <c r="M17" s="251" t="s">
        <v>30</v>
      </c>
      <c r="N17" s="251" t="s">
        <v>15</v>
      </c>
      <c r="O17" s="251" t="s">
        <v>28</v>
      </c>
      <c r="P17" s="251" t="s">
        <v>29</v>
      </c>
    </row>
    <row r="18" spans="1:16" ht="32.25" thickBot="1">
      <c r="A18" s="255"/>
      <c r="B18" s="252"/>
      <c r="C18" s="252"/>
      <c r="D18" s="257"/>
      <c r="E18" s="2" t="s">
        <v>17</v>
      </c>
      <c r="F18" s="2" t="s">
        <v>18</v>
      </c>
      <c r="G18" s="252"/>
      <c r="H18" s="252"/>
      <c r="I18" s="252"/>
      <c r="J18" s="2" t="s">
        <v>19</v>
      </c>
      <c r="K18" s="2" t="s">
        <v>20</v>
      </c>
      <c r="L18" s="252"/>
      <c r="M18" s="252"/>
      <c r="N18" s="252"/>
      <c r="O18" s="252"/>
      <c r="P18" s="252"/>
    </row>
    <row r="19" spans="1:16" ht="22.5" thickTop="1" thickBot="1">
      <c r="A19" s="3">
        <v>1</v>
      </c>
      <c r="B19" s="4" t="s">
        <v>21</v>
      </c>
      <c r="C19" s="5">
        <v>41275</v>
      </c>
      <c r="D19" s="7">
        <v>4</v>
      </c>
      <c r="E19" s="6">
        <f t="shared" ref="E19:F21" si="19">E5</f>
        <v>1000</v>
      </c>
      <c r="F19" s="6">
        <f t="shared" si="19"/>
        <v>1000</v>
      </c>
      <c r="G19" s="6">
        <f>(F19+E19)*2.5</f>
        <v>5000</v>
      </c>
      <c r="H19" s="6">
        <f t="shared" ref="H19:H21" si="20">H5</f>
        <v>50000</v>
      </c>
      <c r="I19" s="6">
        <f>H19+G19</f>
        <v>55000</v>
      </c>
      <c r="J19" s="6">
        <f>(E19*0.14+F19*0.11)*D19</f>
        <v>1000</v>
      </c>
      <c r="K19" s="6">
        <f>7000/12*D19</f>
        <v>2333.3333333333335</v>
      </c>
      <c r="L19" s="6">
        <f>K19+J19</f>
        <v>3333.3333333333335</v>
      </c>
      <c r="M19" s="13">
        <f>I19-L19</f>
        <v>51666.666666666664</v>
      </c>
      <c r="N19" s="6">
        <f>5000/12*D19</f>
        <v>1666.6666666666667</v>
      </c>
      <c r="O19" s="6">
        <f>M19-N19</f>
        <v>50000</v>
      </c>
      <c r="P19" s="1">
        <f>IF(O19&lt;0,"000",IF(O19&lt;=25000,(O19*0.1),IF(O19&lt;=40000,(O19*0.15)-1250,IF(O19&lt;=245000,(O19*0.2)-3250,IF(O19&gt;245000,(O19*0.25)-15500,"000")))))</f>
        <v>6750</v>
      </c>
    </row>
    <row r="20" spans="1:16" ht="22.5" thickTop="1" thickBot="1">
      <c r="A20" s="3">
        <v>2</v>
      </c>
      <c r="B20" s="8" t="s">
        <v>22</v>
      </c>
      <c r="C20" s="5">
        <v>41275</v>
      </c>
      <c r="D20" s="10">
        <v>4</v>
      </c>
      <c r="E20" s="9">
        <f t="shared" si="19"/>
        <v>400</v>
      </c>
      <c r="F20" s="9">
        <f t="shared" si="19"/>
        <v>200</v>
      </c>
      <c r="G20" s="6">
        <f t="shared" ref="G20:G21" si="21">(F20+E20)*2.5</f>
        <v>1500</v>
      </c>
      <c r="H20" s="6">
        <f t="shared" si="20"/>
        <v>40000</v>
      </c>
      <c r="I20" s="6">
        <f t="shared" ref="I20:I21" si="22">H20+G20</f>
        <v>41500</v>
      </c>
      <c r="J20" s="6">
        <f t="shared" ref="J20:J21" si="23">(E20*0.14+F20*0.11)*D20</f>
        <v>312</v>
      </c>
      <c r="K20" s="6">
        <f t="shared" ref="K20:K21" si="24">7000/12*D20</f>
        <v>2333.3333333333335</v>
      </c>
      <c r="L20" s="6">
        <f t="shared" ref="L20:L21" si="25">K20+J20</f>
        <v>2645.3333333333335</v>
      </c>
      <c r="M20" s="13">
        <f t="shared" ref="M20:M21" si="26">I20-L20</f>
        <v>38854.666666666664</v>
      </c>
      <c r="N20" s="6">
        <f t="shared" ref="N20:N21" si="27">5000/12*D20</f>
        <v>1666.6666666666667</v>
      </c>
      <c r="O20" s="6">
        <f t="shared" ref="O20:O21" si="28">M20-N20</f>
        <v>37188</v>
      </c>
      <c r="P20" s="1">
        <f t="shared" ref="P20:P21" si="29">IF(O20&lt;0,"000",IF(O20&lt;=25000,(O20*0.1),IF(O20&lt;=40000,(O20*0.15)-1250,IF(O20&lt;=245000,(O20*0.2)-3250,IF(O20&gt;245000,(O20*0.25)-15500,"000")))))</f>
        <v>4328.2</v>
      </c>
    </row>
    <row r="21" spans="1:16" ht="22.5" thickTop="1" thickBot="1">
      <c r="A21" s="3">
        <v>3</v>
      </c>
      <c r="B21" s="8" t="s">
        <v>23</v>
      </c>
      <c r="C21" s="5">
        <v>41275</v>
      </c>
      <c r="D21" s="7">
        <v>4</v>
      </c>
      <c r="E21" s="9">
        <f t="shared" si="19"/>
        <v>800</v>
      </c>
      <c r="F21" s="9">
        <f t="shared" si="19"/>
        <v>750</v>
      </c>
      <c r="G21" s="6">
        <f t="shared" si="21"/>
        <v>3875</v>
      </c>
      <c r="H21" s="6">
        <f t="shared" si="20"/>
        <v>80000</v>
      </c>
      <c r="I21" s="6">
        <f t="shared" si="22"/>
        <v>83875</v>
      </c>
      <c r="J21" s="6">
        <f t="shared" si="23"/>
        <v>778</v>
      </c>
      <c r="K21" s="6">
        <f t="shared" si="24"/>
        <v>2333.3333333333335</v>
      </c>
      <c r="L21" s="6">
        <f t="shared" si="25"/>
        <v>3111.3333333333335</v>
      </c>
      <c r="M21" s="13">
        <f t="shared" si="26"/>
        <v>80763.666666666672</v>
      </c>
      <c r="N21" s="6">
        <f t="shared" si="27"/>
        <v>1666.6666666666667</v>
      </c>
      <c r="O21" s="6">
        <f t="shared" si="28"/>
        <v>79097</v>
      </c>
      <c r="P21" s="1">
        <f t="shared" si="29"/>
        <v>12569.400000000001</v>
      </c>
    </row>
    <row r="22" spans="1:16" ht="15.75" thickTop="1"/>
  </sheetData>
  <mergeCells count="45">
    <mergeCell ref="N3:N4"/>
    <mergeCell ref="C2:G2"/>
    <mergeCell ref="A3:A4"/>
    <mergeCell ref="B3:B4"/>
    <mergeCell ref="C3:C4"/>
    <mergeCell ref="D3:D4"/>
    <mergeCell ref="E3:F3"/>
    <mergeCell ref="G3:G4"/>
    <mergeCell ref="O10:O11"/>
    <mergeCell ref="O3:O4"/>
    <mergeCell ref="P3:P4"/>
    <mergeCell ref="C9:G9"/>
    <mergeCell ref="A10:A11"/>
    <mergeCell ref="B10:B11"/>
    <mergeCell ref="C10:C11"/>
    <mergeCell ref="D10:D11"/>
    <mergeCell ref="E10:F10"/>
    <mergeCell ref="G10:G11"/>
    <mergeCell ref="H10:H11"/>
    <mergeCell ref="H3:H4"/>
    <mergeCell ref="I3:I4"/>
    <mergeCell ref="J3:K3"/>
    <mergeCell ref="L3:L4"/>
    <mergeCell ref="M3:M4"/>
    <mergeCell ref="P17:P18"/>
    <mergeCell ref="P10:P11"/>
    <mergeCell ref="C16:G16"/>
    <mergeCell ref="A17:A18"/>
    <mergeCell ref="B17:B18"/>
    <mergeCell ref="C17:C18"/>
    <mergeCell ref="D17:D18"/>
    <mergeCell ref="E17:F17"/>
    <mergeCell ref="G17:G18"/>
    <mergeCell ref="H17:H18"/>
    <mergeCell ref="I17:I18"/>
    <mergeCell ref="I10:I11"/>
    <mergeCell ref="J10:K10"/>
    <mergeCell ref="L10:L11"/>
    <mergeCell ref="M10:M11"/>
    <mergeCell ref="N10:N11"/>
    <mergeCell ref="J17:K17"/>
    <mergeCell ref="L17:L18"/>
    <mergeCell ref="M17:M18"/>
    <mergeCell ref="N17:N18"/>
    <mergeCell ref="O17:O18"/>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U61"/>
  <sheetViews>
    <sheetView rightToLeft="1" tabSelected="1" zoomScale="80" zoomScaleNormal="80" workbookViewId="0">
      <pane ySplit="1" topLeftCell="A2" activePane="bottomLeft" state="frozen"/>
      <selection pane="bottomLeft" activeCell="G3" sqref="G3"/>
    </sheetView>
  </sheetViews>
  <sheetFormatPr defaultColWidth="9" defaultRowHeight="15.75"/>
  <cols>
    <col min="1" max="1" width="2.42578125" style="27" bestFit="1" customWidth="1"/>
    <col min="2" max="2" width="15.7109375" style="82" bestFit="1" customWidth="1"/>
    <col min="3" max="3" width="12.42578125" style="27" customWidth="1"/>
    <col min="4" max="4" width="15.7109375" style="27" bestFit="1" customWidth="1"/>
    <col min="5" max="6" width="17.140625" style="27" bestFit="1" customWidth="1"/>
    <col min="7" max="7" width="26" style="27" customWidth="1"/>
    <col min="8" max="8" width="13.7109375" style="27" customWidth="1"/>
    <col min="9" max="9" width="16.140625" style="27" customWidth="1"/>
    <col min="10" max="10" width="13.7109375" style="27" bestFit="1" customWidth="1"/>
    <col min="11" max="11" width="7.140625" style="27" bestFit="1" customWidth="1"/>
    <col min="12" max="12" width="13.7109375" style="27" bestFit="1" customWidth="1"/>
    <col min="13" max="13" width="8" style="27" bestFit="1" customWidth="1"/>
    <col min="14" max="14" width="3.7109375" style="27" customWidth="1"/>
    <col min="15" max="15" width="9" style="27"/>
    <col min="16" max="16" width="11.28515625" style="27" bestFit="1" customWidth="1"/>
    <col min="17" max="17" width="11.85546875" style="27" customWidth="1"/>
    <col min="18" max="19" width="9" style="27"/>
    <col min="20" max="20" width="11.28515625" style="27" customWidth="1"/>
    <col min="21" max="16384" width="9" style="27"/>
  </cols>
  <sheetData>
    <row r="1" spans="1:20" ht="64.5" thickTop="1" thickBot="1">
      <c r="B1" s="82" t="s">
        <v>142</v>
      </c>
      <c r="C1" s="82" t="s">
        <v>94</v>
      </c>
      <c r="D1" s="27" t="s">
        <v>95</v>
      </c>
      <c r="E1" s="28" t="s">
        <v>1</v>
      </c>
      <c r="F1" s="28" t="s">
        <v>0</v>
      </c>
      <c r="G1" s="29" t="s">
        <v>97</v>
      </c>
      <c r="H1" s="28" t="s">
        <v>2</v>
      </c>
      <c r="I1" s="29" t="s">
        <v>98</v>
      </c>
      <c r="J1" s="34" t="s">
        <v>3</v>
      </c>
      <c r="L1" s="34" t="s">
        <v>4</v>
      </c>
      <c r="M1" s="28" t="s">
        <v>5</v>
      </c>
      <c r="O1" s="203" t="s">
        <v>191</v>
      </c>
      <c r="P1" s="203"/>
      <c r="Q1" s="203"/>
    </row>
    <row r="2" spans="1:20" ht="17.25" thickTop="1" thickBot="1">
      <c r="C2" s="82"/>
      <c r="E2" s="33"/>
      <c r="F2" s="33"/>
    </row>
    <row r="3" spans="1:20" ht="17.25" customHeight="1" thickTop="1" thickBot="1">
      <c r="A3" s="163">
        <v>9</v>
      </c>
      <c r="B3" s="164" t="s">
        <v>189</v>
      </c>
      <c r="C3" s="165">
        <v>15000</v>
      </c>
      <c r="D3" s="165">
        <v>30000</v>
      </c>
      <c r="E3" s="173">
        <v>45200</v>
      </c>
      <c r="F3" s="105" t="s">
        <v>141</v>
      </c>
      <c r="G3" s="141">
        <v>4000</v>
      </c>
      <c r="H3" s="36">
        <f>IF(G3&lt;=3750,"0",IF(G3&lt;=5000,(G3*10%)-375,IF(G3&lt;=6250,(G3*15%)-625,IF(G3&lt;=17916.6666666666,(G3*20%)-937.5,IF(G3&lt;=34583.3333333333,(G3*22.5%)-1385.41666666666,IF(G3&lt;=51250,(G3*25%)-2250,IF(G3&lt;=59583.3333333333,(G3*25%)-2000,IF(G3&lt;=67916.666667,(G3*25%)-1812.5,IF(G3&lt;=76250,(G3*25%)-1562.5,IF(G3&lt;=101250,(G3*25%)-1145.8333333333,IF(G3&gt;101250,(G3*27.5%)-2843.75,"000")))))))))))</f>
        <v>25</v>
      </c>
      <c r="I3" s="100">
        <f>+G3*12</f>
        <v>48000</v>
      </c>
      <c r="J3" s="36">
        <f>IF(I3&lt;=45000,0,IF(I3&lt;=60000,(I3*10%)-4500,IF(I3&lt;=75000,(I3*15%)-7500,IF(I3&lt;=215000,(I3*20%)-11250,IF(I3&lt;=415000,(I3*22.5%)-16625,IF(I3&lt;=615000,(I3*25%)-27000,IF(I3&lt;=715000,(I3*25%)-24000,IF(I3&lt;=815000,(I3*25%)-21750,IF(I3&lt;=915000,(I3*25%)-18750,IF(I3&lt;=1215000,(I3*25%)-13750,IF(I3&gt;1215000,(I3*27.5%)-34125,"000")))))))))))</f>
        <v>300</v>
      </c>
      <c r="L3" s="100">
        <f>H3*12</f>
        <v>300</v>
      </c>
      <c r="M3" s="31">
        <f>L3-J3</f>
        <v>0</v>
      </c>
    </row>
    <row r="4" spans="1:20" ht="15.75" customHeight="1" thickTop="1" thickBot="1">
      <c r="B4" s="27"/>
      <c r="I4" s="166"/>
    </row>
    <row r="5" spans="1:20" ht="17.25" customHeight="1" thickTop="1" thickBot="1">
      <c r="A5" s="27">
        <v>8</v>
      </c>
      <c r="B5" s="102" t="s">
        <v>162</v>
      </c>
      <c r="C5" s="170">
        <v>15000</v>
      </c>
      <c r="D5" s="170">
        <v>21000</v>
      </c>
      <c r="E5" s="30">
        <v>45108</v>
      </c>
      <c r="F5" s="30">
        <v>45199</v>
      </c>
      <c r="G5" s="171">
        <f>+G3</f>
        <v>4000</v>
      </c>
      <c r="H5" s="36">
        <f>IF(G5&lt;=3000,"0",IF(G5&lt;=3750,(G5*2.5%)-75,IF(G5&lt;=5000,(G5*10%)-356.25,IF(G5&lt;=6250,(G5*15%)-606.25,IF(G5&lt;=17916.6666666666,(G5*20%)-918.75,IF(G5&lt;=34583.3333333333,(G5*22.5%)-1366.66666666666,IF(G5&lt;=51250,(G5*25%)-2231.25,IF(G5&lt;=59583.3333333333,(G5*25%)-2187.5,IF(G5&lt;=67916.666667,(G5*25%)-2000,IF(G5&lt;=76250,(G5*25%)-1812.5,IF(G5&lt;=101250,(G5*25%)-1562.5,IF(G5&gt;101250,(G5*27.5%)-2843.75,"000"))))))))))))</f>
        <v>43.75</v>
      </c>
      <c r="I5" s="100">
        <f>+G5*12</f>
        <v>48000</v>
      </c>
      <c r="J5" s="36">
        <f>IF(I5&lt;=36000,0,IF(I5&lt;=45000,(I5*2.5%)-900,IF(I5&lt;=60000,(I5*10%)-4275,IF(I5&lt;=75000,(I5*15%)-7275,IF(I5&lt;=215000,(I5*20%)-11025,IF(I5&lt;=415000,(I5*22.5%)-16400,IF(I5&lt;=615000,(I5*25%)-26775,IF(I5&lt;=715000,(I5*25%)-26250,IF(I5&lt;=815000,(I5*25%)-24000,IF(I5&lt;=915000,(I5*25%)-21750,IF(I5&lt;=1215000,(I5*25%)-18750,IF(I5&gt;1215000,(I5*27.5%)-34125,"000"))))))))))))</f>
        <v>525</v>
      </c>
      <c r="L5" s="100">
        <f>H5*12</f>
        <v>525</v>
      </c>
      <c r="M5" s="31">
        <f>L5-J5</f>
        <v>0</v>
      </c>
      <c r="O5" s="204" t="s">
        <v>156</v>
      </c>
      <c r="P5" s="205"/>
      <c r="Q5" s="205"/>
      <c r="R5" s="205"/>
      <c r="S5" s="205"/>
      <c r="T5" s="206"/>
    </row>
    <row r="6" spans="1:20" ht="10.5" customHeight="1" thickTop="1" thickBot="1">
      <c r="B6" s="27"/>
      <c r="I6" s="166"/>
      <c r="O6" s="207"/>
      <c r="P6" s="208"/>
      <c r="Q6" s="208"/>
      <c r="R6" s="208"/>
      <c r="S6" s="208"/>
      <c r="T6" s="209"/>
    </row>
    <row r="7" spans="1:20" ht="17.25" customHeight="1" thickTop="1" thickBot="1">
      <c r="A7" s="27">
        <v>7</v>
      </c>
      <c r="B7" s="102" t="s">
        <v>143</v>
      </c>
      <c r="C7" s="37">
        <v>9000</v>
      </c>
      <c r="D7" s="170">
        <v>15000</v>
      </c>
      <c r="E7" s="30">
        <v>44013</v>
      </c>
      <c r="F7" s="30">
        <v>45107</v>
      </c>
      <c r="G7" s="100">
        <f>+G3</f>
        <v>4000</v>
      </c>
      <c r="H7" s="36">
        <f>IF(G7&lt;=2000,"0",IF(G7&lt;=3250,(G7*2.5%)-50,IF(G7&lt;=4500,(G7*10%)-293.75,IF(G7&lt;=5750,(G7*15%)-518.75,IF(G7&lt;=17416.6666666666,(G7*20%)-806.25,IF(G7&lt;=34083.3333333333,(G7*22.5%)-1241.66666666666,IF(G7&lt;=50750,(G7*25%)-2093.75,IF(G7&lt;=59083.3333333333,(G7*25%)-2062.5,IF(G7&lt;=67416.666667,(G7*25%)-1875,IF(G7&lt;=75750,(G7*25%)-1687.5,IF(G7&lt;=84083.3333333333,(G7*25%)-1437.5,IF(G7&gt;84083.3333333333,(G7*25%)-1020.8333333333,"000"))))))))))))</f>
        <v>106.25</v>
      </c>
      <c r="I7" s="100">
        <f>+G7*12</f>
        <v>48000</v>
      </c>
      <c r="J7" s="36">
        <f>IF(I7&lt;=24000,"0",IF(I7&lt;=39000,(I7*2.5%)-600,IF(I7&lt;=54000,(I7*10%)-3525,IF(I7&lt;=69000,(I7*15%)-6225,IF(I7&lt;=209000,(I7*20%)-9675,IF(I7&lt;=409000,(I7*22.5%)-14900,IF(I7&lt;=609000,(I7*25%)-25125,IF(I7&lt;=709000,(I7*25%)-24750,IF(I7&lt;=809000,(I7*25%)-22500,IF(I7&lt;=909000,(I7*25%)-20250,IF(I7&lt;=1009000,(I7*25%)-17250,IF(I7&gt;1009000,(I7*25%)-12250,"000"))))))))))))</f>
        <v>1275</v>
      </c>
      <c r="L7" s="100">
        <f>H7*12</f>
        <v>1275</v>
      </c>
      <c r="M7" s="31">
        <f>L7-J7</f>
        <v>0</v>
      </c>
      <c r="O7" s="207"/>
      <c r="P7" s="208"/>
      <c r="Q7" s="208"/>
      <c r="R7" s="208"/>
      <c r="S7" s="208"/>
      <c r="T7" s="209"/>
    </row>
    <row r="8" spans="1:20" ht="12" customHeight="1" thickTop="1" thickBot="1">
      <c r="C8" s="37"/>
      <c r="D8" s="37"/>
      <c r="G8" s="37"/>
      <c r="H8" s="37"/>
      <c r="I8" s="37"/>
      <c r="J8" s="37"/>
      <c r="L8" s="37"/>
      <c r="O8" s="207"/>
      <c r="P8" s="208"/>
      <c r="Q8" s="208"/>
      <c r="R8" s="208"/>
      <c r="S8" s="208"/>
      <c r="T8" s="209"/>
    </row>
    <row r="9" spans="1:20" ht="17.25" customHeight="1" thickTop="1" thickBot="1">
      <c r="A9" s="27">
        <v>6</v>
      </c>
      <c r="B9" s="102" t="s">
        <v>144</v>
      </c>
      <c r="C9" s="37">
        <v>7000</v>
      </c>
      <c r="D9" s="37">
        <v>8000</v>
      </c>
      <c r="E9" s="30">
        <v>43282</v>
      </c>
      <c r="F9" s="30">
        <v>44012</v>
      </c>
      <c r="G9" s="100">
        <f>+G3</f>
        <v>4000</v>
      </c>
      <c r="H9" s="36">
        <f>IF(G9&lt;=1250,"0",IF(G9&lt;=3083.3333333,((G9*0.1)-125)*(15%),IF(G9&lt;=4333.3333333,((G9*0.15)-279.166665)*(55%),IF(G9&lt;=17250,((G9*0.2)-495.833165)*(92.5%),IF(G9&gt;17250,(G9*0.225)-927.083165,"000")))))</f>
        <v>176.45833425000001</v>
      </c>
      <c r="I9" s="100">
        <f>+G9*12</f>
        <v>48000</v>
      </c>
      <c r="J9" s="36">
        <f>IF(I9&lt;=15000,"0",IF(I9&lt;=37000,((I9*0.1)-1500)*15%,IF(I9&lt;=52000,((I9*0.15)-3350)*55%,IF(I9&lt;=207000,((I9*0.2)-5950)*92.5%,IF(I9&gt;207000,(I9*0.225)-11125,"000")))))</f>
        <v>2117.5</v>
      </c>
      <c r="L9" s="100">
        <f>H9*12</f>
        <v>2117.5000110000001</v>
      </c>
      <c r="M9" s="31">
        <f>L9-J9</f>
        <v>1.1000000085914508E-5</v>
      </c>
      <c r="O9" s="207"/>
      <c r="P9" s="208"/>
      <c r="Q9" s="208"/>
      <c r="R9" s="208"/>
      <c r="S9" s="208"/>
      <c r="T9" s="209"/>
    </row>
    <row r="10" spans="1:20" ht="15" customHeight="1" thickTop="1" thickBot="1">
      <c r="C10" s="37"/>
      <c r="D10" s="37"/>
      <c r="G10" s="37"/>
      <c r="H10" s="37"/>
      <c r="I10" s="37"/>
      <c r="J10" s="37"/>
      <c r="L10" s="37"/>
      <c r="O10" s="207"/>
      <c r="P10" s="208"/>
      <c r="Q10" s="208"/>
      <c r="R10" s="208"/>
      <c r="S10" s="208"/>
      <c r="T10" s="209"/>
    </row>
    <row r="11" spans="1:20" ht="17.25" customHeight="1" thickTop="1" thickBot="1">
      <c r="A11" s="27">
        <v>5</v>
      </c>
      <c r="B11" s="102" t="s">
        <v>148</v>
      </c>
      <c r="C11" s="37">
        <v>7000</v>
      </c>
      <c r="D11" s="37">
        <v>7200</v>
      </c>
      <c r="E11" s="30">
        <v>42917</v>
      </c>
      <c r="F11" s="30">
        <v>43281</v>
      </c>
      <c r="G11" s="100">
        <f>+G3</f>
        <v>4000</v>
      </c>
      <c r="H11" s="36">
        <f>IF(G11&lt;=1183.3333333,"0",IF(G11&lt;=3083.3333333,((G11*0.1)-118.3333333)*(20%),IF(G11&lt;=4333.3333333,((G11*0.15)-272.5)*(60%),IF(G11&lt;=17250,((G11*0.2)-489.16666667)*(95%),IF(G11&gt;17250,(G11*0.225)-920.4166667,"000")))))</f>
        <v>196.5</v>
      </c>
      <c r="I11" s="100">
        <f>+G11*12</f>
        <v>48000</v>
      </c>
      <c r="J11" s="36">
        <f>IF(I11&lt;=14200,"0",IF(I11&lt;=37000,((I11*0.1)-1420)*20%,IF(I11&lt;=52000,((I11*0.15)-3270)*60%,IF(I11&lt;=207000,((I11*0.2)-5870)*95%,IF(I11&gt;207000,(I11*0.225)-11045,"000")))))</f>
        <v>2358</v>
      </c>
      <c r="L11" s="100">
        <f>H11*12</f>
        <v>2358</v>
      </c>
      <c r="M11" s="31">
        <f>L11-J11</f>
        <v>0</v>
      </c>
      <c r="O11" s="207"/>
      <c r="P11" s="208"/>
      <c r="Q11" s="208"/>
      <c r="R11" s="208"/>
      <c r="S11" s="208"/>
      <c r="T11" s="209"/>
    </row>
    <row r="12" spans="1:20" ht="10.5" customHeight="1" thickTop="1" thickBot="1">
      <c r="B12" s="102"/>
      <c r="C12" s="37"/>
      <c r="D12" s="37"/>
      <c r="G12" s="37"/>
      <c r="H12" s="37"/>
      <c r="I12" s="37"/>
      <c r="J12" s="37"/>
      <c r="L12" s="37"/>
      <c r="O12" s="207"/>
      <c r="P12" s="208"/>
      <c r="Q12" s="208"/>
      <c r="R12" s="208"/>
      <c r="S12" s="208"/>
      <c r="T12" s="209"/>
    </row>
    <row r="13" spans="1:20" ht="17.25" customHeight="1" thickTop="1" thickBot="1">
      <c r="A13" s="27">
        <v>4</v>
      </c>
      <c r="B13" s="102" t="s">
        <v>147</v>
      </c>
      <c r="C13" s="37">
        <v>7000</v>
      </c>
      <c r="D13" s="37">
        <v>6500</v>
      </c>
      <c r="E13" s="30">
        <v>42248</v>
      </c>
      <c r="F13" s="30">
        <v>42916</v>
      </c>
      <c r="G13" s="100">
        <f>+G3</f>
        <v>4000</v>
      </c>
      <c r="H13" s="36">
        <f>IF(G13&lt;=1125,"0",IF(G13&lt;=3083.3333333,(G13*0.1)-112.5,IF(G13&lt;=4333.3333333,(G13*0.15)-266.6666666,IF(G13&lt;=17250,(G13*0.2)-483.3333333,IF(G13&gt;17250,(G13*0.225)-914.5833333,"000")))))</f>
        <v>333.33333340000001</v>
      </c>
      <c r="I13" s="100">
        <f>+G13*12</f>
        <v>48000</v>
      </c>
      <c r="J13" s="36">
        <f>IF(I13&lt;=13500,"0",IF(I13&lt;=37000,(I13*0.1)-1350,IF(I13&lt;=52000,(I13*0.15)-3200,IF(I13&lt;=207000,(I13*0.2)-5800,IF(I13&gt;207000,(I13*0.225)-10975,"000")))))</f>
        <v>4000</v>
      </c>
      <c r="L13" s="100">
        <f>H13*12</f>
        <v>4000.0000008000002</v>
      </c>
      <c r="M13" s="31">
        <f>L13-J13</f>
        <v>8.0000017987913452E-7</v>
      </c>
      <c r="O13" s="210"/>
      <c r="P13" s="211"/>
      <c r="Q13" s="211"/>
      <c r="R13" s="211"/>
      <c r="S13" s="211"/>
      <c r="T13" s="212"/>
    </row>
    <row r="14" spans="1:20" ht="11.25" customHeight="1" thickTop="1" thickBot="1">
      <c r="B14" s="102"/>
      <c r="C14" s="38"/>
      <c r="D14" s="38"/>
      <c r="E14" s="33"/>
      <c r="F14" s="33"/>
      <c r="G14" s="38"/>
      <c r="H14" s="38"/>
      <c r="I14" s="38"/>
      <c r="J14" s="38"/>
      <c r="L14" s="37"/>
      <c r="O14"/>
      <c r="P14"/>
      <c r="Q14"/>
      <c r="R14"/>
      <c r="S14" s="39"/>
      <c r="T14" s="39"/>
    </row>
    <row r="15" spans="1:20" ht="17.25" customHeight="1" thickTop="1" thickBot="1">
      <c r="A15" s="27">
        <v>3</v>
      </c>
      <c r="B15" s="103" t="s">
        <v>146</v>
      </c>
      <c r="C15" s="37">
        <v>7000</v>
      </c>
      <c r="D15" s="37">
        <v>5000</v>
      </c>
      <c r="E15" s="30">
        <v>41518</v>
      </c>
      <c r="F15" s="32">
        <v>42247</v>
      </c>
      <c r="G15" s="100">
        <f>+G3</f>
        <v>4000</v>
      </c>
      <c r="H15" s="36">
        <f>IF(G15&lt;=1000,"0",IF(G15&lt;=3083.3333333,(G15*0.1)-100,IF(G15&lt;=4333.3333333,(G15*0.15)-254.1666666,IF(G15&lt;=21416.6666666,(G15*0.2)-470.8333333,IF(G15&gt;21416.6666666,(G15*0.25)-1541.6666666,"000")))))</f>
        <v>345.83333340000001</v>
      </c>
      <c r="I15" s="100">
        <f>+G15*12</f>
        <v>48000</v>
      </c>
      <c r="J15" s="36">
        <f>IF(I15&lt;=12000,"0",IF(I15&lt;=37000,(I15*0.1)-1200,IF(I15&lt;=52000,(I15*0.15)-3050,IF(I15&lt;=257000,(I15*0.2)-5650,IF(I15&gt;257000,(I15*0.25)-18500,"000")))))</f>
        <v>4150</v>
      </c>
      <c r="L15" s="100">
        <f>H15*12</f>
        <v>4150.0000008000006</v>
      </c>
      <c r="M15" s="31">
        <f>L15-J15</f>
        <v>8.0000063462648541E-7</v>
      </c>
      <c r="O15"/>
      <c r="P15"/>
      <c r="Q15"/>
      <c r="R15"/>
      <c r="S15" s="39"/>
      <c r="T15" s="39"/>
    </row>
    <row r="16" spans="1:20" ht="11.25" customHeight="1" thickTop="1" thickBot="1">
      <c r="B16" s="102"/>
      <c r="C16" s="37"/>
      <c r="D16" s="37"/>
      <c r="G16" s="37"/>
      <c r="H16" s="37"/>
      <c r="I16" s="37"/>
      <c r="J16" s="37"/>
      <c r="L16" s="37"/>
      <c r="O16" s="39"/>
      <c r="P16" s="39"/>
      <c r="Q16" s="39"/>
      <c r="R16" s="39"/>
      <c r="S16" s="39"/>
      <c r="T16" s="39"/>
    </row>
    <row r="17" spans="1:21" ht="17.25" customHeight="1" thickTop="1" thickBot="1">
      <c r="A17" s="27">
        <v>2</v>
      </c>
      <c r="B17" s="103" t="s">
        <v>146</v>
      </c>
      <c r="C17" s="37">
        <v>4000</v>
      </c>
      <c r="D17" s="37">
        <v>5000</v>
      </c>
      <c r="E17" s="32">
        <v>41426</v>
      </c>
      <c r="F17" s="30">
        <v>41517</v>
      </c>
      <c r="G17" s="100">
        <f>+G3</f>
        <v>4000</v>
      </c>
      <c r="H17" s="36">
        <f>IF(G17&lt;=750,"0",IF(G17&lt;=2833.3333333,(G17*0.1)-75,IF(G17&lt;=4083.3333333,(G17*0.15)-216.6666666,IF(G17&lt;=21166.6666666,(G17*0.2)-420.8333333,IF(G17&gt;21166.6666666,(G17*0.25)-1479.1666666,"000")))))</f>
        <v>383.33333340000001</v>
      </c>
      <c r="I17" s="100">
        <f>+G17*12</f>
        <v>48000</v>
      </c>
      <c r="J17" s="36">
        <f>IF(I17&lt;=9000,"0",IF(I17&lt;=34000,(I17*0.1)-900,IF(I17&lt;=49000,(I17*0.15)-2600,IF(I17&lt;=254000,(I17*0.2)-5050,IF(I17&gt;254000,(I17*0.25)-17750,"000")))))</f>
        <v>4600</v>
      </c>
      <c r="L17" s="100">
        <f>H17*12</f>
        <v>4600.0000008000006</v>
      </c>
      <c r="M17" s="31">
        <f>L17-J17</f>
        <v>8.0000063462648541E-7</v>
      </c>
      <c r="O17" s="213" t="s">
        <v>177</v>
      </c>
      <c r="P17" s="213"/>
      <c r="Q17" s="213"/>
      <c r="R17" s="213"/>
      <c r="S17" s="213"/>
      <c r="T17" s="213"/>
      <c r="U17" s="161"/>
    </row>
    <row r="18" spans="1:21" ht="10.5" customHeight="1" thickTop="1" thickBot="1">
      <c r="B18" s="102"/>
      <c r="C18" s="37"/>
      <c r="D18" s="37"/>
      <c r="G18" s="37"/>
      <c r="H18" s="37"/>
      <c r="I18" s="37"/>
      <c r="J18" s="37"/>
      <c r="L18" s="37"/>
      <c r="O18" s="213"/>
      <c r="P18" s="213"/>
      <c r="Q18" s="213"/>
      <c r="R18" s="213"/>
      <c r="S18" s="213"/>
      <c r="T18" s="213"/>
      <c r="U18" s="161"/>
    </row>
    <row r="19" spans="1:21" ht="20.25" thickTop="1" thickBot="1">
      <c r="A19" s="27">
        <v>1</v>
      </c>
      <c r="B19" s="102" t="s">
        <v>145</v>
      </c>
      <c r="C19" s="37">
        <v>4000</v>
      </c>
      <c r="D19" s="37">
        <v>5000</v>
      </c>
      <c r="E19" s="30">
        <v>38534</v>
      </c>
      <c r="F19" s="30">
        <v>41425</v>
      </c>
      <c r="G19" s="100">
        <f>+G3</f>
        <v>4000</v>
      </c>
      <c r="H19" s="36">
        <f>IF(G19&lt;=750,"0",IF(G19&lt;=2000,(G19*0.1)-75,IF(G19&lt;=3666.6666666,(G19*0.15)-175,IF(G19&gt;3666.6666666,(G19*0.2)-358.3333333,"000"))))</f>
        <v>441.66666670000001</v>
      </c>
      <c r="I19" s="100">
        <f>+G19*12</f>
        <v>48000</v>
      </c>
      <c r="J19" s="36">
        <f>IF(I19&lt;=9000,"0",IF(I19&lt;=24000,(I19*0.1)-900,IF(I19&lt;=44000,(I19*0.15)-2100,IF(I19&gt;44000,(I19*0.2)-4300,"000"))))</f>
        <v>5300</v>
      </c>
      <c r="L19" s="100">
        <f>H19*12</f>
        <v>5300.0000004000003</v>
      </c>
      <c r="M19" s="31">
        <f>L19-J19</f>
        <v>4.000003173132427E-7</v>
      </c>
      <c r="O19" s="213"/>
      <c r="P19" s="213"/>
      <c r="Q19" s="213"/>
      <c r="R19" s="213"/>
      <c r="S19" s="213"/>
      <c r="T19" s="213"/>
      <c r="U19" s="161"/>
    </row>
    <row r="20" spans="1:21" ht="19.5" thickTop="1">
      <c r="B20" s="102"/>
      <c r="C20" s="37"/>
      <c r="D20" s="37"/>
      <c r="G20" s="37"/>
      <c r="H20" s="37"/>
      <c r="I20" s="37"/>
      <c r="J20" s="37"/>
      <c r="L20" s="37"/>
      <c r="O20" s="214" t="s">
        <v>176</v>
      </c>
      <c r="P20" s="214"/>
      <c r="Q20" s="214"/>
      <c r="R20" s="214"/>
      <c r="S20" s="214"/>
      <c r="T20" s="214"/>
      <c r="U20" s="162"/>
    </row>
    <row r="21" spans="1:21" ht="22.5" customHeight="1" thickBot="1">
      <c r="E21" s="200" t="s">
        <v>96</v>
      </c>
      <c r="F21" s="200"/>
      <c r="G21" s="200"/>
      <c r="H21" s="200"/>
      <c r="J21" s="202" t="s">
        <v>159</v>
      </c>
      <c r="K21" s="202"/>
      <c r="L21" s="202"/>
      <c r="M21" s="202"/>
      <c r="P21" s="81"/>
    </row>
    <row r="22" spans="1:21" ht="17.25" thickTop="1" thickBot="1">
      <c r="E22" s="200" t="s">
        <v>182</v>
      </c>
      <c r="F22" s="200"/>
      <c r="G22" s="200"/>
      <c r="H22" s="200"/>
      <c r="J22" s="202"/>
      <c r="K22" s="202"/>
      <c r="L22" s="202"/>
      <c r="M22" s="202"/>
    </row>
    <row r="23" spans="1:21" ht="33" customHeight="1" thickTop="1" thickBot="1">
      <c r="B23" s="82" t="s">
        <v>181</v>
      </c>
      <c r="D23" s="27" t="s">
        <v>142</v>
      </c>
      <c r="E23" s="34" t="s">
        <v>1</v>
      </c>
      <c r="F23" s="34" t="s">
        <v>0</v>
      </c>
      <c r="G23" s="29" t="s">
        <v>93</v>
      </c>
      <c r="H23" s="34" t="s">
        <v>3</v>
      </c>
      <c r="I23" s="33"/>
      <c r="J23" s="202"/>
      <c r="K23" s="202"/>
      <c r="L23" s="202"/>
      <c r="M23" s="202"/>
    </row>
    <row r="24" spans="1:21" ht="19.5" customHeight="1" thickTop="1" thickBot="1">
      <c r="B24" s="167">
        <f>+H24-J3</f>
        <v>0</v>
      </c>
      <c r="D24" s="102" t="s">
        <v>189</v>
      </c>
      <c r="E24" s="30">
        <v>45200</v>
      </c>
      <c r="F24" s="99" t="s">
        <v>141</v>
      </c>
      <c r="G24" s="101">
        <f>+I3-C3-D3</f>
        <v>3000</v>
      </c>
      <c r="H24" s="36">
        <f>IF(G24&lt;=0,"0",IF(G24&lt;=15000,(G24*10%),IF(G24&lt;=30000,(G24*15%)-750,IF(G24&lt;=170000,(G24*20%)-2250,IF(G24&lt;=370000,(G24*22.5%)-6500,IF(G24&lt;=570000,(G24*25%)-15750,IF(G24&lt;=670000,(G24*25%)-12750,IF(G24&lt;=770000,(G24*25%)-10500,IF(G24&lt;=870000,(G24*25%)-7500,IF(G24&lt;=1170000,(G24*25%)-2500,IF(G24&gt;1170000,(G24*27.5%)-21750,"000")))))))))))</f>
        <v>300</v>
      </c>
      <c r="I24" s="33"/>
      <c r="J24" s="202"/>
      <c r="K24" s="202"/>
      <c r="L24" s="202"/>
      <c r="M24" s="202"/>
    </row>
    <row r="25" spans="1:21" ht="10.5" customHeight="1" thickTop="1" thickBot="1">
      <c r="I25" s="33"/>
      <c r="J25" s="202"/>
      <c r="K25" s="202"/>
      <c r="L25" s="202"/>
      <c r="M25" s="202"/>
    </row>
    <row r="26" spans="1:21" ht="21.75" customHeight="1" thickTop="1" thickBot="1">
      <c r="B26" s="167">
        <f>+H26-J5</f>
        <v>0</v>
      </c>
      <c r="D26" s="102" t="s">
        <v>162</v>
      </c>
      <c r="E26" s="30">
        <v>45108</v>
      </c>
      <c r="F26" s="30">
        <v>45199</v>
      </c>
      <c r="G26" s="101">
        <f>+I5-C5-D5</f>
        <v>12000</v>
      </c>
      <c r="H26" s="36">
        <f>IF(G26&lt;=0,"0",IF(G26&lt;=9000,(G26*2.5%),IF(G26&lt;=24000,(G26*10%)-675,IF(G26&lt;=39000,(G26*15%)-1875,IF(G26&lt;=179000,(G26*20%)-3825,IF(G26&lt;=379000,(G26*22.5%)-8300,IF(G26&lt;=579000,(G26*25%)-17775,IF(G26&lt;=679000,(G26*25%)-17250,IF(G26&lt;=779000,(G26*25%)-15000,IF(G26&lt;=879000,(G26*25%)-12750,IF(G26&lt;=1179000,(G26*25%)-9750,IF(G26&gt;1179000,(G26*27.5%)-24225,"000"))))))))))))</f>
        <v>525</v>
      </c>
      <c r="I26"/>
      <c r="J26" s="202"/>
      <c r="K26" s="202"/>
      <c r="L26" s="202"/>
      <c r="M26" s="202"/>
    </row>
    <row r="27" spans="1:21" ht="7.5" customHeight="1" thickTop="1" thickBot="1">
      <c r="I27"/>
      <c r="J27"/>
      <c r="K27"/>
      <c r="L27"/>
      <c r="M27"/>
    </row>
    <row r="28" spans="1:21" ht="32.25" customHeight="1" thickTop="1" thickBot="1">
      <c r="E28" s="28" t="s">
        <v>1</v>
      </c>
      <c r="F28" s="28" t="s">
        <v>0</v>
      </c>
      <c r="G28" s="34" t="s">
        <v>6</v>
      </c>
      <c r="H28" s="28" t="s">
        <v>3</v>
      </c>
      <c r="I28"/>
      <c r="J28"/>
      <c r="K28"/>
      <c r="L28"/>
      <c r="M28"/>
    </row>
    <row r="29" spans="1:21" ht="17.25" customHeight="1" thickTop="1" thickBot="1">
      <c r="B29" s="167">
        <f>+H29-J7</f>
        <v>0</v>
      </c>
      <c r="D29" s="102" t="s">
        <v>143</v>
      </c>
      <c r="E29" s="30">
        <v>44013</v>
      </c>
      <c r="F29" s="30">
        <v>45107</v>
      </c>
      <c r="G29" s="101">
        <f>+I7-C7-D7</f>
        <v>24000</v>
      </c>
      <c r="H29" s="36">
        <f>IF(G29&lt;=0,"0",IF(G29&lt;=15000,(G29*2.5%),IF(G29&lt;=30000,(G29*10%)-1125,IF(G29&lt;=45000,(G29*15%)-2625,IF(G29&lt;=185000,(G29*20%)-4875,IF(G29&lt;=385000,(G29*22.5%)-9500,IF(G29&lt;=585000,(G29*25%)-19125,IF(G29&lt;=685000,(G29*25%)-18750,IF(G29&lt;=785000,(G29*25%)-16500,IF(G29&lt;=885000,(G29*25%)-14250,IF(G29&lt;=985000,(G29*25%)-11250,IF(G29&gt;985000,(G29*25%)-6250,"000"))))))))))))</f>
        <v>1275</v>
      </c>
      <c r="I29"/>
    </row>
    <row r="30" spans="1:21" ht="6" customHeight="1" thickTop="1" thickBot="1">
      <c r="I30"/>
    </row>
    <row r="31" spans="1:21" ht="30.75" customHeight="1" thickTop="1" thickBot="1">
      <c r="E31" s="28" t="s">
        <v>1</v>
      </c>
      <c r="F31" s="28" t="s">
        <v>0</v>
      </c>
      <c r="G31" s="34" t="s">
        <v>6</v>
      </c>
      <c r="H31" s="28" t="s">
        <v>3</v>
      </c>
      <c r="I31"/>
      <c r="P31" s="174"/>
    </row>
    <row r="32" spans="1:21" ht="18" thickTop="1" thickBot="1">
      <c r="B32" s="167">
        <f>+H32-J9</f>
        <v>0</v>
      </c>
      <c r="D32" s="102" t="s">
        <v>144</v>
      </c>
      <c r="E32" s="30">
        <v>43282</v>
      </c>
      <c r="F32" s="35">
        <v>44012</v>
      </c>
      <c r="G32" s="101">
        <f>I9-D9-C9</f>
        <v>33000</v>
      </c>
      <c r="H32" s="36">
        <f>IF(G32&lt;0,"000",IF(G32&lt;=22000,(G32*0.1)*15%,IF(G32&lt;=37000,((G32*0.15)-1100)*55%,IF(G32&lt;=192000,((G32*0.2)-2950)*92.5%,IF(G32&gt;192000,(G32*0.225)-7750,"000")))))</f>
        <v>2117.5</v>
      </c>
      <c r="I32"/>
      <c r="P32" s="174"/>
    </row>
    <row r="33" spans="2:16" ht="9.75" customHeight="1" thickTop="1" thickBot="1">
      <c r="I33"/>
      <c r="P33" s="174"/>
    </row>
    <row r="34" spans="2:16" ht="33" customHeight="1" thickTop="1" thickBot="1">
      <c r="E34" s="28" t="s">
        <v>1</v>
      </c>
      <c r="F34" s="28" t="s">
        <v>0</v>
      </c>
      <c r="G34" s="34" t="s">
        <v>6</v>
      </c>
      <c r="H34" s="28" t="s">
        <v>3</v>
      </c>
      <c r="I34"/>
      <c r="P34" s="174"/>
    </row>
    <row r="35" spans="2:16" ht="17.25" customHeight="1" thickTop="1" thickBot="1">
      <c r="B35" s="167">
        <f>+H35-J11</f>
        <v>0</v>
      </c>
      <c r="D35" s="102" t="s">
        <v>148</v>
      </c>
      <c r="E35" s="30">
        <v>42917</v>
      </c>
      <c r="F35" s="35">
        <v>43281</v>
      </c>
      <c r="G35" s="101">
        <f>I11-D11-C11</f>
        <v>33800</v>
      </c>
      <c r="H35" s="36">
        <f>IF(G35&lt;0,"000",IF(G35&lt;=22800,(G35*0.1)*20%,IF(G35&lt;=37800,((G35*0.15)-1140)*60%,IF(G35&lt;=192800,((G35*0.2)-3030)*95%,IF(G35&gt;192800,(G35*0.225)-7850,"000")))))</f>
        <v>2358</v>
      </c>
      <c r="I35"/>
    </row>
    <row r="36" spans="2:16" ht="11.25" customHeight="1" thickTop="1" thickBot="1">
      <c r="I36"/>
    </row>
    <row r="37" spans="2:16" ht="33" thickTop="1" thickBot="1">
      <c r="E37" s="28" t="s">
        <v>1</v>
      </c>
      <c r="F37" s="28" t="s">
        <v>0</v>
      </c>
      <c r="G37" s="34" t="s">
        <v>6</v>
      </c>
      <c r="H37" s="28" t="s">
        <v>3</v>
      </c>
      <c r="I37"/>
    </row>
    <row r="38" spans="2:16" ht="17.25" thickTop="1" thickBot="1">
      <c r="B38" s="167">
        <f>+H38-J13</f>
        <v>0</v>
      </c>
      <c r="D38" s="102" t="s">
        <v>147</v>
      </c>
      <c r="E38" s="30">
        <v>42248</v>
      </c>
      <c r="F38" s="35">
        <v>42916</v>
      </c>
      <c r="G38" s="101">
        <f>+I13-C13-D13</f>
        <v>34500</v>
      </c>
      <c r="H38" s="36">
        <f>IF(G38&lt;0,"000",IF(G38&lt;=23500,(G38*0.1),IF(G38&lt;=38500,(G38*0.15)-1175,IF(G38&lt;=193500,(G38*0.2)-3100,IF(G38&gt;193500,(G38*0.225)-7937.5,"000")))))</f>
        <v>4000</v>
      </c>
      <c r="I38"/>
    </row>
    <row r="39" spans="2:16" ht="6.75" customHeight="1" thickTop="1" thickBot="1">
      <c r="I39"/>
    </row>
    <row r="40" spans="2:16" ht="33" thickTop="1" thickBot="1">
      <c r="E40" s="28" t="s">
        <v>1</v>
      </c>
      <c r="F40" s="28" t="s">
        <v>0</v>
      </c>
      <c r="G40" s="34" t="s">
        <v>6</v>
      </c>
      <c r="H40" s="28" t="s">
        <v>3</v>
      </c>
      <c r="I40"/>
    </row>
    <row r="41" spans="2:16" ht="17.25" thickTop="1" thickBot="1">
      <c r="B41" s="167">
        <f>+H41-J15</f>
        <v>0</v>
      </c>
      <c r="D41" s="103" t="s">
        <v>146</v>
      </c>
      <c r="E41" s="32">
        <v>41518</v>
      </c>
      <c r="F41" s="32">
        <v>42247</v>
      </c>
      <c r="G41" s="101">
        <f>+I15-D15-C15</f>
        <v>36000</v>
      </c>
      <c r="H41" s="104">
        <f>IF(G41&lt;0,"000",IF(G41&lt;=25000,(G41*0.1),IF(G41&lt;=40000,(G41*0.15)-1250,IF(G41&lt;=245000,(G41*0.2)-3250,IF(G41&gt;245000,(G41*0.25)-15500,"000")))))</f>
        <v>4150</v>
      </c>
      <c r="I41" s="201" t="s">
        <v>149</v>
      </c>
    </row>
    <row r="42" spans="2:16" ht="5.25" customHeight="1" thickTop="1" thickBot="1">
      <c r="B42" s="27"/>
      <c r="I42" s="201"/>
    </row>
    <row r="43" spans="2:16" ht="17.25" thickTop="1" thickBot="1">
      <c r="B43" s="167">
        <f>+H43-J17</f>
        <v>0</v>
      </c>
      <c r="D43" s="103" t="s">
        <v>146</v>
      </c>
      <c r="E43" s="32">
        <v>41426</v>
      </c>
      <c r="F43" s="32">
        <v>41517</v>
      </c>
      <c r="G43" s="101">
        <f>+I17-C17-D17</f>
        <v>39000</v>
      </c>
      <c r="H43" s="104">
        <f>IF(G43&lt;0,"000",IF(G43&lt;=25000,(G43*0.1),IF(G43&lt;=40000,(G43*0.15)-1250,IF(G43&lt;=245000,(G43*0.2)-3250,IF(G43&gt;245000,(G43*0.25)-15500,"000")))))</f>
        <v>4600</v>
      </c>
      <c r="I43" s="201"/>
    </row>
    <row r="44" spans="2:16" ht="10.5" customHeight="1" thickTop="1" thickBot="1">
      <c r="K44" s="140"/>
    </row>
    <row r="45" spans="2:16" ht="33" thickTop="1" thickBot="1">
      <c r="D45" s="27" t="s">
        <v>142</v>
      </c>
      <c r="E45" s="34" t="s">
        <v>1</v>
      </c>
      <c r="F45" s="34" t="s">
        <v>0</v>
      </c>
      <c r="G45" s="29" t="s">
        <v>93</v>
      </c>
      <c r="H45" s="34" t="s">
        <v>3</v>
      </c>
      <c r="K45" s="139"/>
    </row>
    <row r="46" spans="2:16" ht="17.25" thickTop="1" thickBot="1">
      <c r="B46" s="167">
        <f>+H46-J19</f>
        <v>0</v>
      </c>
      <c r="D46" s="102" t="s">
        <v>145</v>
      </c>
      <c r="E46" s="30">
        <v>38534</v>
      </c>
      <c r="F46" s="30">
        <v>41425</v>
      </c>
      <c r="G46" s="101">
        <f>+I19-C19-D19</f>
        <v>39000</v>
      </c>
      <c r="H46" s="36">
        <f>IF(G46&lt;0,"000",IF(G46&lt;=15000,(G46*0.1),IF(G46&lt;=35000,(G46*0.15)-750,IF(G46&gt;35000,(G46*0.2)-2500,"000"))))</f>
        <v>5300</v>
      </c>
      <c r="K46" s="139"/>
    </row>
    <row r="47" spans="2:16" ht="16.5" thickTop="1">
      <c r="K47" s="139"/>
    </row>
    <row r="48" spans="2:16">
      <c r="K48" s="140"/>
    </row>
    <row r="49" spans="11:11">
      <c r="K49" s="139"/>
    </row>
    <row r="50" spans="11:11">
      <c r="K50" s="139"/>
    </row>
    <row r="55" spans="11:11">
      <c r="K55" s="140"/>
    </row>
    <row r="56" spans="11:11">
      <c r="K56" s="139"/>
    </row>
    <row r="57" spans="11:11">
      <c r="K57" s="139"/>
    </row>
    <row r="58" spans="11:11">
      <c r="K58" s="139"/>
    </row>
    <row r="59" spans="11:11">
      <c r="K59" s="140"/>
    </row>
    <row r="60" spans="11:11">
      <c r="K60" s="139"/>
    </row>
    <row r="61" spans="11:11">
      <c r="K61" s="139"/>
    </row>
  </sheetData>
  <mergeCells count="8">
    <mergeCell ref="E21:H21"/>
    <mergeCell ref="E22:H22"/>
    <mergeCell ref="I41:I43"/>
    <mergeCell ref="J21:M26"/>
    <mergeCell ref="O1:Q1"/>
    <mergeCell ref="O5:T13"/>
    <mergeCell ref="O17:T19"/>
    <mergeCell ref="O20:T20"/>
  </mergeCells>
  <hyperlinks>
    <hyperlink ref="O20" r:id="rId1" xr:uid="{EA53DF81-7861-4BC9-9343-1B93CB4C9E12}"/>
  </hyperlinks>
  <pageMargins left="0.7" right="0.7" top="0.75" bottom="0.75" header="0.3" footer="0.3"/>
  <pageSetup paperSize="9" orientation="portrait"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ABDA9-FD49-4290-9077-372752BB58ED}">
  <dimension ref="H6:I9"/>
  <sheetViews>
    <sheetView rightToLeft="1" workbookViewId="0">
      <selection activeCell="I15" sqref="I15"/>
    </sheetView>
  </sheetViews>
  <sheetFormatPr defaultRowHeight="15"/>
  <cols>
    <col min="8" max="8" width="23.42578125" bestFit="1" customWidth="1"/>
    <col min="9" max="9" width="37.42578125" bestFit="1" customWidth="1"/>
  </cols>
  <sheetData>
    <row r="6" spans="8:9" ht="15.75" thickBot="1"/>
    <row r="7" spans="8:9" ht="43.5" thickTop="1" thickBot="1">
      <c r="H7" s="177" t="s">
        <v>32</v>
      </c>
      <c r="I7" s="177" t="s">
        <v>194</v>
      </c>
    </row>
    <row r="8" spans="8:9" ht="22.5" thickTop="1" thickBot="1">
      <c r="H8" s="178">
        <v>10000001</v>
      </c>
      <c r="I8" s="176" t="str">
        <f>IF(H8&lt;=250000,1000,IF(H8&lt;=500000,2500,IF(H8&lt;=1000000,5000,IF(H8&lt;=2000000,(H8*0.5%),IF(H8&lt;=3000000,(H8*0.75%),IF(H8&lt;=10000000,(H8*1%),IF(H8&gt;10000000,"غير خاضع لاحكام هذاالقانون")))))))</f>
        <v>غير خاضع لاحكام هذاالقانون</v>
      </c>
    </row>
    <row r="9" spans="8:9" ht="15.75" thickTop="1"/>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5364D-1D23-4F08-8B83-72563CE508A6}">
  <dimension ref="D1:R38"/>
  <sheetViews>
    <sheetView rightToLeft="1" workbookViewId="0">
      <selection activeCell="G24" sqref="G24"/>
    </sheetView>
  </sheetViews>
  <sheetFormatPr defaultRowHeight="15"/>
  <cols>
    <col min="4" max="5" width="14.28515625" bestFit="1" customWidth="1"/>
    <col min="6" max="6" width="2.5703125" customWidth="1"/>
    <col min="8" max="8" width="2.42578125" customWidth="1"/>
    <col min="9" max="9" width="14.5703125" customWidth="1"/>
    <col min="11" max="11" width="12.28515625" customWidth="1"/>
    <col min="12" max="12" width="11.42578125" customWidth="1"/>
    <col min="13" max="15" width="10.5703125" bestFit="1" customWidth="1"/>
    <col min="16" max="16" width="11.5703125" bestFit="1" customWidth="1"/>
    <col min="18" max="18" width="10.5703125" bestFit="1" customWidth="1"/>
  </cols>
  <sheetData>
    <row r="1" spans="4:18" ht="15.75" thickBot="1"/>
    <row r="2" spans="4:18" ht="39.75" thickTop="1" thickBot="1">
      <c r="D2" s="215" t="s">
        <v>32</v>
      </c>
      <c r="E2" s="215"/>
      <c r="G2" t="s">
        <v>170</v>
      </c>
      <c r="I2" s="151" t="s">
        <v>171</v>
      </c>
      <c r="K2" s="150" t="s">
        <v>172</v>
      </c>
      <c r="L2" s="150" t="s">
        <v>173</v>
      </c>
      <c r="N2" t="s">
        <v>174</v>
      </c>
    </row>
    <row r="3" spans="4:18" ht="17.25" thickTop="1" thickBot="1">
      <c r="D3" s="18" t="s">
        <v>35</v>
      </c>
      <c r="E3" s="18" t="s">
        <v>0</v>
      </c>
      <c r="G3" s="149"/>
      <c r="I3" s="152"/>
    </row>
    <row r="4" spans="4:18" ht="17.25" thickTop="1" thickBot="1">
      <c r="D4" s="147">
        <v>0</v>
      </c>
      <c r="E4" s="147">
        <v>21000</v>
      </c>
      <c r="G4" s="154">
        <v>0</v>
      </c>
      <c r="I4" s="152">
        <f>+E4*G4</f>
        <v>0</v>
      </c>
    </row>
    <row r="5" spans="4:18" ht="17.25" thickTop="1" thickBot="1">
      <c r="D5" s="147">
        <f>+E4</f>
        <v>21000</v>
      </c>
      <c r="E5" s="147">
        <v>30000</v>
      </c>
      <c r="G5" s="154">
        <v>2.5000000000000001E-2</v>
      </c>
      <c r="I5" s="152">
        <f>+E5*G5</f>
        <v>750</v>
      </c>
      <c r="K5" s="153">
        <f>+E5-E4</f>
        <v>9000</v>
      </c>
      <c r="L5" s="155">
        <f>+G5-G4</f>
        <v>2.5000000000000001E-2</v>
      </c>
      <c r="M5" s="153">
        <f>+L5*E4</f>
        <v>525</v>
      </c>
      <c r="N5" s="156">
        <f>+M5</f>
        <v>525</v>
      </c>
      <c r="O5" s="153"/>
      <c r="P5" s="153"/>
      <c r="Q5">
        <f>+K5*G5</f>
        <v>225</v>
      </c>
    </row>
    <row r="6" spans="4:18" ht="17.25" thickTop="1" thickBot="1">
      <c r="D6" s="147">
        <f t="shared" ref="D6:D13" si="0">+E5</f>
        <v>30000</v>
      </c>
      <c r="E6" s="147">
        <v>45000</v>
      </c>
      <c r="G6" s="154">
        <v>0.1</v>
      </c>
      <c r="I6" s="152">
        <f t="shared" ref="I6:I10" si="1">+E6*G6</f>
        <v>4500</v>
      </c>
      <c r="K6" s="153">
        <f t="shared" ref="K6:K10" si="2">+E6-E5</f>
        <v>15000</v>
      </c>
      <c r="L6" s="155">
        <f t="shared" ref="L6:L10" si="3">+G6-G5</f>
        <v>7.5000000000000011E-2</v>
      </c>
      <c r="M6" s="153">
        <f>+L6*E5</f>
        <v>2250.0000000000005</v>
      </c>
      <c r="N6" s="156">
        <f>SUM(M5:M6)</f>
        <v>2775.0000000000005</v>
      </c>
      <c r="O6" s="153"/>
      <c r="P6" s="153"/>
      <c r="Q6">
        <f t="shared" ref="Q6:Q10" si="4">+K6*G6</f>
        <v>1500</v>
      </c>
      <c r="R6" s="157">
        <f>+I6-Q5-Q6</f>
        <v>2775</v>
      </c>
    </row>
    <row r="7" spans="4:18" ht="17.25" thickTop="1" thickBot="1">
      <c r="D7" s="147">
        <f t="shared" si="0"/>
        <v>45000</v>
      </c>
      <c r="E7" s="148">
        <v>60000</v>
      </c>
      <c r="G7" s="154">
        <v>0.15</v>
      </c>
      <c r="I7" s="152">
        <f t="shared" si="1"/>
        <v>9000</v>
      </c>
      <c r="K7" s="153">
        <f t="shared" si="2"/>
        <v>15000</v>
      </c>
      <c r="L7" s="155">
        <f t="shared" si="3"/>
        <v>4.9999999999999989E-2</v>
      </c>
      <c r="M7" s="153">
        <f>+L7*E6</f>
        <v>2249.9999999999995</v>
      </c>
      <c r="N7" s="156">
        <f>SUM(M5:M7)</f>
        <v>5025</v>
      </c>
      <c r="O7" s="153"/>
      <c r="P7" s="153"/>
      <c r="Q7">
        <f t="shared" si="4"/>
        <v>2250</v>
      </c>
      <c r="R7" s="157">
        <f>+I7-Q5-Q6-Q7</f>
        <v>5025</v>
      </c>
    </row>
    <row r="8" spans="4:18" ht="17.25" thickTop="1" thickBot="1">
      <c r="D8" s="147">
        <f t="shared" si="0"/>
        <v>60000</v>
      </c>
      <c r="E8" s="148">
        <v>200000</v>
      </c>
      <c r="G8" s="154">
        <v>0.2</v>
      </c>
      <c r="I8" s="152">
        <f t="shared" si="1"/>
        <v>40000</v>
      </c>
      <c r="K8" s="153">
        <f t="shared" si="2"/>
        <v>140000</v>
      </c>
      <c r="L8" s="155">
        <f t="shared" si="3"/>
        <v>5.0000000000000017E-2</v>
      </c>
      <c r="M8" s="153">
        <f t="shared" ref="M8:M10" si="5">+L8*E7</f>
        <v>3000.0000000000009</v>
      </c>
      <c r="N8" s="156">
        <f>SUM(M5:M8)</f>
        <v>8025.0000000000009</v>
      </c>
      <c r="O8" s="153"/>
      <c r="P8" s="153"/>
      <c r="Q8">
        <f t="shared" si="4"/>
        <v>28000</v>
      </c>
      <c r="R8" s="157">
        <f>+I8-Q5-Q6-Q7-Q8</f>
        <v>8025</v>
      </c>
    </row>
    <row r="9" spans="4:18" ht="17.25" thickTop="1" thickBot="1">
      <c r="D9" s="147">
        <f t="shared" si="0"/>
        <v>200000</v>
      </c>
      <c r="E9" s="148">
        <v>400000</v>
      </c>
      <c r="G9" s="154">
        <v>0.22500000000000001</v>
      </c>
      <c r="I9" s="152">
        <f t="shared" si="1"/>
        <v>90000</v>
      </c>
      <c r="K9" s="153">
        <f t="shared" si="2"/>
        <v>200000</v>
      </c>
      <c r="L9" s="155">
        <f t="shared" si="3"/>
        <v>2.4999999999999994E-2</v>
      </c>
      <c r="M9" s="153">
        <f t="shared" si="5"/>
        <v>4999.9999999999991</v>
      </c>
      <c r="N9" s="156">
        <f>SUM(M5:M9)</f>
        <v>13025</v>
      </c>
      <c r="O9" s="153"/>
      <c r="P9" s="153"/>
      <c r="Q9">
        <f t="shared" si="4"/>
        <v>45000</v>
      </c>
      <c r="R9" s="157">
        <f>+I9-Q5-Q6-Q7-Q8-Q9</f>
        <v>13025</v>
      </c>
    </row>
    <row r="10" spans="4:18" ht="17.25" thickTop="1" thickBot="1">
      <c r="D10" s="147">
        <f t="shared" si="0"/>
        <v>400000</v>
      </c>
      <c r="E10" s="148" t="s">
        <v>44</v>
      </c>
      <c r="G10" s="154">
        <v>0.25</v>
      </c>
      <c r="I10" s="152" t="e">
        <f t="shared" si="1"/>
        <v>#VALUE!</v>
      </c>
      <c r="K10" s="153" t="e">
        <f t="shared" si="2"/>
        <v>#VALUE!</v>
      </c>
      <c r="L10" s="155">
        <f t="shared" si="3"/>
        <v>2.4999999999999994E-2</v>
      </c>
      <c r="M10" s="153">
        <f t="shared" si="5"/>
        <v>9999.9999999999982</v>
      </c>
      <c r="N10" s="156">
        <f>SUM(M5:M10)</f>
        <v>23025</v>
      </c>
      <c r="O10" s="153"/>
      <c r="P10" s="153"/>
      <c r="Q10" t="e">
        <f t="shared" si="4"/>
        <v>#VALUE!</v>
      </c>
    </row>
    <row r="11" spans="4:18" ht="17.25" thickTop="1" thickBot="1">
      <c r="D11" s="147" t="str">
        <f t="shared" si="0"/>
        <v xml:space="preserve"> -----</v>
      </c>
      <c r="E11" s="148" t="s">
        <v>44</v>
      </c>
    </row>
    <row r="12" spans="4:18" ht="17.25" thickTop="1" thickBot="1">
      <c r="D12" s="147" t="str">
        <f t="shared" si="0"/>
        <v xml:space="preserve"> -----</v>
      </c>
      <c r="E12" s="148" t="s">
        <v>44</v>
      </c>
    </row>
    <row r="13" spans="4:18" ht="17.25" thickTop="1" thickBot="1">
      <c r="D13" s="147" t="str">
        <f t="shared" si="0"/>
        <v xml:space="preserve"> -----</v>
      </c>
      <c r="E13" s="148" t="s">
        <v>44</v>
      </c>
    </row>
    <row r="14" spans="4:18" ht="15.75" thickTop="1"/>
    <row r="15" spans="4:18">
      <c r="O15">
        <f>15000*2.5/100</f>
        <v>375</v>
      </c>
    </row>
    <row r="25" spans="9:9">
      <c r="I25" s="175"/>
    </row>
    <row r="26" spans="9:9">
      <c r="I26" s="175"/>
    </row>
    <row r="27" spans="9:9">
      <c r="I27" s="175"/>
    </row>
    <row r="28" spans="9:9">
      <c r="I28" s="175"/>
    </row>
    <row r="29" spans="9:9">
      <c r="I29" s="175"/>
    </row>
    <row r="30" spans="9:9">
      <c r="I30" s="175"/>
    </row>
    <row r="31" spans="9:9">
      <c r="I31" s="175"/>
    </row>
    <row r="32" spans="9:9">
      <c r="I32" s="175"/>
    </row>
    <row r="33" spans="9:9">
      <c r="I33" s="175"/>
    </row>
    <row r="34" spans="9:9">
      <c r="I34" s="175"/>
    </row>
    <row r="35" spans="9:9">
      <c r="I35" s="175"/>
    </row>
    <row r="36" spans="9:9">
      <c r="I36" s="175"/>
    </row>
    <row r="37" spans="9:9">
      <c r="I37" s="175"/>
    </row>
    <row r="38" spans="9:9">
      <c r="I38" s="175"/>
    </row>
  </sheetData>
  <mergeCells count="1">
    <mergeCell ref="D2:E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8A17C-BAF0-4E81-BF20-F1194AB7B3EC}">
  <dimension ref="E1:K24"/>
  <sheetViews>
    <sheetView rightToLeft="1" workbookViewId="0">
      <selection activeCell="M5" sqref="M5"/>
    </sheetView>
  </sheetViews>
  <sheetFormatPr defaultRowHeight="15"/>
  <cols>
    <col min="5" max="5" width="26.5703125" bestFit="1" customWidth="1"/>
    <col min="6" max="6" width="13" bestFit="1" customWidth="1"/>
    <col min="7" max="7" width="11.140625" bestFit="1" customWidth="1"/>
    <col min="8" max="8" width="13" bestFit="1" customWidth="1"/>
    <col min="9" max="9" width="10.85546875" bestFit="1" customWidth="1"/>
    <col min="10" max="10" width="13" bestFit="1" customWidth="1"/>
    <col min="11" max="11" width="13.42578125" bestFit="1" customWidth="1"/>
  </cols>
  <sheetData>
    <row r="1" spans="6:11" ht="27.75" thickTop="1" thickBot="1">
      <c r="F1" s="216" t="s">
        <v>195</v>
      </c>
      <c r="G1" s="217"/>
      <c r="H1" s="217"/>
      <c r="I1" s="217"/>
      <c r="J1" s="217"/>
      <c r="K1" s="218"/>
    </row>
    <row r="2" spans="6:11" ht="20.25" thickTop="1" thickBot="1">
      <c r="F2" s="258" t="s">
        <v>196</v>
      </c>
      <c r="G2" s="259"/>
      <c r="H2" s="259"/>
      <c r="I2" s="259"/>
      <c r="J2" s="259"/>
      <c r="K2" s="260"/>
    </row>
    <row r="3" spans="6:11" ht="16.5" thickTop="1" thickBot="1">
      <c r="F3" s="219" t="s">
        <v>197</v>
      </c>
      <c r="G3" s="220"/>
      <c r="H3" s="220"/>
      <c r="I3" s="220"/>
      <c r="J3" s="220"/>
      <c r="K3" s="221"/>
    </row>
    <row r="4" spans="6:11" ht="16.5" thickTop="1" thickBot="1">
      <c r="F4" s="219" t="s">
        <v>198</v>
      </c>
      <c r="G4" s="220"/>
      <c r="H4" s="220"/>
      <c r="I4" s="220"/>
      <c r="J4" s="220"/>
      <c r="K4" s="221"/>
    </row>
    <row r="5" spans="6:11" ht="52.5" thickTop="1" thickBot="1">
      <c r="F5" s="179" t="s">
        <v>199</v>
      </c>
      <c r="G5" s="180" t="s">
        <v>200</v>
      </c>
      <c r="H5" s="181" t="s">
        <v>201</v>
      </c>
      <c r="I5" s="180" t="s">
        <v>202</v>
      </c>
      <c r="J5" s="179" t="s">
        <v>203</v>
      </c>
      <c r="K5" s="180" t="s">
        <v>204</v>
      </c>
    </row>
    <row r="6" spans="6:11" ht="17.25" thickTop="1" thickBot="1">
      <c r="F6" s="182">
        <v>2000</v>
      </c>
      <c r="G6" s="182">
        <f t="shared" ref="G6:G22" si="0">+F6*0.3</f>
        <v>600</v>
      </c>
      <c r="H6" s="182">
        <f t="shared" ref="H6:H22" si="1">+F6+G6</f>
        <v>2600</v>
      </c>
      <c r="I6" s="182">
        <f t="shared" ref="I6:I22" si="2">+F6*0.11</f>
        <v>220</v>
      </c>
      <c r="J6" s="182">
        <f t="shared" ref="J6:J22" si="3">+H6-I6</f>
        <v>2380</v>
      </c>
      <c r="K6" s="183" t="str">
        <f t="shared" ref="K6:K22" si="4">IF(J6&lt;=3750,"0",IF(J6&lt;=5000,(J6*10%)-375,IF(J6&lt;=6250,(J6*15%)-625,IF(J6&lt;=17916.6666666666,(J6*20%)-937.5,IF(J6&lt;=34583.3333333333,(J6*22.5%)-1385.41666666666,IF(J6&lt;=51250,(J6*25%)-2250,IF(J6&lt;=59583.3333333333,(J6*25%)-2000,IF(J6&lt;=67916.666667,(J6*25%)-1812.5,IF(J6&lt;=76250,(J6*25%)-1562.5,IF(J6&lt;=101250,(J6*25%)-1145.8333333333,IF(J6&gt;101250,(J6*27.5%)-2843.75,"000")))))))))))</f>
        <v>0</v>
      </c>
    </row>
    <row r="7" spans="6:11" ht="17.25" thickTop="1" thickBot="1">
      <c r="F7" s="182">
        <v>2700</v>
      </c>
      <c r="G7" s="182">
        <f t="shared" si="0"/>
        <v>810</v>
      </c>
      <c r="H7" s="182">
        <f t="shared" si="1"/>
        <v>3510</v>
      </c>
      <c r="I7" s="182">
        <f t="shared" si="2"/>
        <v>297</v>
      </c>
      <c r="J7" s="182">
        <f t="shared" si="3"/>
        <v>3213</v>
      </c>
      <c r="K7" s="183" t="str">
        <f t="shared" si="4"/>
        <v>0</v>
      </c>
    </row>
    <row r="8" spans="6:11" ht="17.25" thickTop="1" thickBot="1">
      <c r="F8" s="182">
        <v>2800</v>
      </c>
      <c r="G8" s="182">
        <f t="shared" si="0"/>
        <v>840</v>
      </c>
      <c r="H8" s="182">
        <f t="shared" si="1"/>
        <v>3640</v>
      </c>
      <c r="I8" s="182">
        <f t="shared" si="2"/>
        <v>308</v>
      </c>
      <c r="J8" s="182">
        <f t="shared" si="3"/>
        <v>3332</v>
      </c>
      <c r="K8" s="183" t="str">
        <f t="shared" si="4"/>
        <v>0</v>
      </c>
    </row>
    <row r="9" spans="6:11" ht="17.25" thickTop="1" thickBot="1">
      <c r="F9" s="182">
        <v>2900</v>
      </c>
      <c r="G9" s="182">
        <f t="shared" si="0"/>
        <v>870</v>
      </c>
      <c r="H9" s="182">
        <f t="shared" si="1"/>
        <v>3770</v>
      </c>
      <c r="I9" s="182">
        <f t="shared" si="2"/>
        <v>319</v>
      </c>
      <c r="J9" s="182">
        <f t="shared" si="3"/>
        <v>3451</v>
      </c>
      <c r="K9" s="183" t="str">
        <f t="shared" si="4"/>
        <v>0</v>
      </c>
    </row>
    <row r="10" spans="6:11" ht="17.25" thickTop="1" thickBot="1">
      <c r="F10" s="182">
        <v>3000</v>
      </c>
      <c r="G10" s="182">
        <f t="shared" si="0"/>
        <v>900</v>
      </c>
      <c r="H10" s="182">
        <f t="shared" si="1"/>
        <v>3900</v>
      </c>
      <c r="I10" s="182">
        <f t="shared" si="2"/>
        <v>330</v>
      </c>
      <c r="J10" s="182">
        <f t="shared" si="3"/>
        <v>3570</v>
      </c>
      <c r="K10" s="183" t="str">
        <f t="shared" si="4"/>
        <v>0</v>
      </c>
    </row>
    <row r="11" spans="6:11" ht="17.25" thickTop="1" thickBot="1">
      <c r="F11" s="182">
        <v>3100</v>
      </c>
      <c r="G11" s="182">
        <f t="shared" si="0"/>
        <v>930</v>
      </c>
      <c r="H11" s="182">
        <f t="shared" si="1"/>
        <v>4030</v>
      </c>
      <c r="I11" s="182">
        <f t="shared" si="2"/>
        <v>341</v>
      </c>
      <c r="J11" s="182">
        <f t="shared" si="3"/>
        <v>3689</v>
      </c>
      <c r="K11" s="183" t="str">
        <f t="shared" si="4"/>
        <v>0</v>
      </c>
    </row>
    <row r="12" spans="6:11" ht="20.25" thickTop="1" thickBot="1">
      <c r="F12" s="184">
        <v>3150</v>
      </c>
      <c r="G12" s="184">
        <f t="shared" si="0"/>
        <v>945</v>
      </c>
      <c r="H12" s="184">
        <f t="shared" si="1"/>
        <v>4095</v>
      </c>
      <c r="I12" s="184">
        <f t="shared" si="2"/>
        <v>346.5</v>
      </c>
      <c r="J12" s="184">
        <f t="shared" si="3"/>
        <v>3748.5</v>
      </c>
      <c r="K12" s="185" t="str">
        <f t="shared" si="4"/>
        <v>0</v>
      </c>
    </row>
    <row r="13" spans="6:11" ht="20.25" thickTop="1" thickBot="1">
      <c r="F13" s="184">
        <v>3153.86</v>
      </c>
      <c r="G13" s="184">
        <f t="shared" si="0"/>
        <v>946.15800000000002</v>
      </c>
      <c r="H13" s="184">
        <f t="shared" si="1"/>
        <v>4100.018</v>
      </c>
      <c r="I13" s="184">
        <f t="shared" si="2"/>
        <v>346.9246</v>
      </c>
      <c r="J13" s="184">
        <f t="shared" si="3"/>
        <v>3753.0934000000002</v>
      </c>
      <c r="K13" s="185">
        <f t="shared" si="4"/>
        <v>0.30934000000002015</v>
      </c>
    </row>
    <row r="14" spans="6:11" ht="20.25" thickTop="1" thickBot="1">
      <c r="F14" s="184">
        <v>3154</v>
      </c>
      <c r="G14" s="184">
        <f t="shared" si="0"/>
        <v>946.19999999999993</v>
      </c>
      <c r="H14" s="184">
        <f t="shared" si="1"/>
        <v>4100.2</v>
      </c>
      <c r="I14" s="184">
        <f t="shared" si="2"/>
        <v>346.94</v>
      </c>
      <c r="J14" s="184">
        <f t="shared" si="3"/>
        <v>3753.2599999999998</v>
      </c>
      <c r="K14" s="185">
        <f t="shared" si="4"/>
        <v>0.32600000000002183</v>
      </c>
    </row>
    <row r="15" spans="6:11" ht="20.25" thickTop="1" thickBot="1">
      <c r="F15" s="184">
        <v>3155</v>
      </c>
      <c r="G15" s="184">
        <f t="shared" si="0"/>
        <v>946.5</v>
      </c>
      <c r="H15" s="184">
        <f t="shared" si="1"/>
        <v>4101.5</v>
      </c>
      <c r="I15" s="184">
        <f t="shared" si="2"/>
        <v>347.05</v>
      </c>
      <c r="J15" s="184">
        <f t="shared" si="3"/>
        <v>3754.45</v>
      </c>
      <c r="K15" s="185">
        <f t="shared" si="4"/>
        <v>0.44499999999999318</v>
      </c>
    </row>
    <row r="16" spans="6:11" ht="17.25" thickTop="1" thickBot="1">
      <c r="F16" s="182">
        <v>3160</v>
      </c>
      <c r="G16" s="182">
        <f t="shared" si="0"/>
        <v>948</v>
      </c>
      <c r="H16" s="182">
        <f t="shared" si="1"/>
        <v>4108</v>
      </c>
      <c r="I16" s="182">
        <f t="shared" si="2"/>
        <v>347.6</v>
      </c>
      <c r="J16" s="182">
        <f t="shared" si="3"/>
        <v>3760.4</v>
      </c>
      <c r="K16" s="183">
        <f t="shared" si="4"/>
        <v>1.0400000000000205</v>
      </c>
    </row>
    <row r="17" spans="5:11" ht="17.25" thickTop="1" thickBot="1">
      <c r="F17" s="182">
        <v>3200</v>
      </c>
      <c r="G17" s="182">
        <f t="shared" si="0"/>
        <v>960</v>
      </c>
      <c r="H17" s="182">
        <f t="shared" si="1"/>
        <v>4160</v>
      </c>
      <c r="I17" s="182">
        <f t="shared" si="2"/>
        <v>352</v>
      </c>
      <c r="J17" s="182">
        <f t="shared" si="3"/>
        <v>3808</v>
      </c>
      <c r="K17" s="183">
        <f t="shared" si="4"/>
        <v>5.8000000000000114</v>
      </c>
    </row>
    <row r="18" spans="5:11" ht="17.25" thickTop="1" thickBot="1">
      <c r="F18" s="186">
        <v>3500</v>
      </c>
      <c r="G18" s="186">
        <f t="shared" si="0"/>
        <v>1050</v>
      </c>
      <c r="H18" s="186">
        <f t="shared" si="1"/>
        <v>4550</v>
      </c>
      <c r="I18" s="186">
        <f t="shared" si="2"/>
        <v>385</v>
      </c>
      <c r="J18" s="186">
        <f t="shared" si="3"/>
        <v>4165</v>
      </c>
      <c r="K18" s="183">
        <f t="shared" si="4"/>
        <v>41.5</v>
      </c>
    </row>
    <row r="19" spans="5:11" ht="17.25" thickTop="1" thickBot="1">
      <c r="F19" s="186">
        <v>4000</v>
      </c>
      <c r="G19" s="186">
        <f t="shared" si="0"/>
        <v>1200</v>
      </c>
      <c r="H19" s="186">
        <f t="shared" si="1"/>
        <v>5200</v>
      </c>
      <c r="I19" s="186">
        <f t="shared" si="2"/>
        <v>440</v>
      </c>
      <c r="J19" s="186">
        <f t="shared" si="3"/>
        <v>4760</v>
      </c>
      <c r="K19" s="183">
        <f t="shared" si="4"/>
        <v>101</v>
      </c>
    </row>
    <row r="20" spans="5:11" ht="17.25" thickTop="1" thickBot="1">
      <c r="F20" s="186">
        <v>4500</v>
      </c>
      <c r="G20" s="186">
        <f t="shared" si="0"/>
        <v>1350</v>
      </c>
      <c r="H20" s="186">
        <f t="shared" si="1"/>
        <v>5850</v>
      </c>
      <c r="I20" s="186">
        <f t="shared" si="2"/>
        <v>495</v>
      </c>
      <c r="J20" s="186">
        <f t="shared" si="3"/>
        <v>5355</v>
      </c>
      <c r="K20" s="183">
        <f t="shared" si="4"/>
        <v>178.25</v>
      </c>
    </row>
    <row r="21" spans="5:11" ht="17.25" thickTop="1" thickBot="1">
      <c r="F21" s="186">
        <v>5000</v>
      </c>
      <c r="G21" s="186">
        <f t="shared" si="0"/>
        <v>1500</v>
      </c>
      <c r="H21" s="186">
        <f t="shared" si="1"/>
        <v>6500</v>
      </c>
      <c r="I21" s="186">
        <f t="shared" si="2"/>
        <v>550</v>
      </c>
      <c r="J21" s="186">
        <f t="shared" si="3"/>
        <v>5950</v>
      </c>
      <c r="K21" s="183">
        <f t="shared" si="4"/>
        <v>267.5</v>
      </c>
    </row>
    <row r="22" spans="5:11" ht="17.25" thickTop="1" thickBot="1">
      <c r="E22" s="42"/>
      <c r="F22" s="182">
        <v>12600</v>
      </c>
      <c r="G22" s="182">
        <f t="shared" si="0"/>
        <v>3780</v>
      </c>
      <c r="H22" s="182">
        <f t="shared" si="1"/>
        <v>16380</v>
      </c>
      <c r="I22" s="182">
        <f t="shared" si="2"/>
        <v>1386</v>
      </c>
      <c r="J22" s="182">
        <f t="shared" si="3"/>
        <v>14994</v>
      </c>
      <c r="K22" s="183">
        <f t="shared" si="4"/>
        <v>2061.3000000000002</v>
      </c>
    </row>
    <row r="23" spans="5:11" ht="16.5" thickTop="1" thickBot="1">
      <c r="F23" s="219" t="s">
        <v>205</v>
      </c>
      <c r="G23" s="220"/>
      <c r="H23" s="220"/>
      <c r="I23" s="220"/>
      <c r="J23" s="220"/>
      <c r="K23" s="221"/>
    </row>
    <row r="24" spans="5:11" ht="15.75" thickTop="1"/>
  </sheetData>
  <mergeCells count="5">
    <mergeCell ref="F1:K1"/>
    <mergeCell ref="F2:K2"/>
    <mergeCell ref="F3:K3"/>
    <mergeCell ref="F4:K4"/>
    <mergeCell ref="F23:K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162B8-7465-46AF-9123-ED4D2EAF7669}">
  <sheetPr>
    <tabColor rgb="FF00B0F0"/>
  </sheetPr>
  <dimension ref="A1:U41"/>
  <sheetViews>
    <sheetView rightToLeft="1" zoomScale="80" zoomScaleNormal="80" workbookViewId="0">
      <selection activeCell="C11" sqref="C11"/>
    </sheetView>
  </sheetViews>
  <sheetFormatPr defaultRowHeight="15.75"/>
  <cols>
    <col min="1" max="1" width="28.5703125" style="27" bestFit="1" customWidth="1"/>
    <col min="2" max="2" width="22.28515625" style="27" bestFit="1" customWidth="1"/>
    <col min="3" max="3" width="28.140625" style="27" bestFit="1" customWidth="1"/>
    <col min="4" max="4" width="4.140625" style="27" customWidth="1"/>
    <col min="5" max="5" width="2.140625" style="27" bestFit="1" customWidth="1"/>
    <col min="6" max="6" width="9.28515625" style="27" bestFit="1" customWidth="1"/>
    <col min="7" max="7" width="20.5703125" style="27" bestFit="1" customWidth="1"/>
    <col min="8" max="8" width="20.28515625" style="27" customWidth="1"/>
    <col min="9" max="9" width="16.42578125" style="27" customWidth="1"/>
    <col min="10" max="10" width="16.7109375" style="27" customWidth="1"/>
    <col min="11" max="11" width="16.5703125" style="27" customWidth="1"/>
    <col min="12" max="12" width="14.85546875" style="27" customWidth="1"/>
    <col min="13" max="13" width="2.42578125" style="27" customWidth="1"/>
    <col min="14" max="14" width="5" style="27" customWidth="1"/>
    <col min="15" max="15" width="15.7109375" style="37" bestFit="1" customWidth="1"/>
    <col min="16" max="16" width="12.42578125" style="27" bestFit="1" customWidth="1"/>
    <col min="17" max="17" width="15.7109375" style="27" bestFit="1" customWidth="1"/>
    <col min="18" max="18" width="13.7109375" style="27" bestFit="1" customWidth="1"/>
    <col min="19" max="19" width="9.140625" style="27"/>
    <col min="20" max="20" width="12.42578125" style="27" bestFit="1" customWidth="1"/>
    <col min="21" max="239" width="9.140625" style="27"/>
    <col min="240" max="240" width="14.7109375" style="27" bestFit="1" customWidth="1"/>
    <col min="241" max="241" width="16" style="27" customWidth="1"/>
    <col min="242" max="242" width="12.85546875" style="27" bestFit="1" customWidth="1"/>
    <col min="243" max="244" width="10.140625" style="27" bestFit="1" customWidth="1"/>
    <col min="245" max="245" width="22.42578125" style="27" bestFit="1" customWidth="1"/>
    <col min="246" max="246" width="14" style="27" customWidth="1"/>
    <col min="247" max="247" width="4.85546875" style="27" bestFit="1" customWidth="1"/>
    <col min="248" max="248" width="9.42578125" style="27" customWidth="1"/>
    <col min="249" max="249" width="12.42578125" style="27" bestFit="1" customWidth="1"/>
    <col min="250" max="250" width="7.85546875" style="27" bestFit="1" customWidth="1"/>
    <col min="251" max="251" width="5.85546875" style="27" bestFit="1" customWidth="1"/>
    <col min="252" max="252" width="6.140625" style="27" bestFit="1" customWidth="1"/>
    <col min="253" max="253" width="4.42578125" style="27" bestFit="1" customWidth="1"/>
    <col min="254" max="254" width="6.85546875" style="27" bestFit="1" customWidth="1"/>
    <col min="255" max="255" width="4.42578125" style="27" bestFit="1" customWidth="1"/>
    <col min="256" max="256" width="8.42578125" style="27" bestFit="1" customWidth="1"/>
    <col min="257" max="257" width="1.85546875" style="27" bestFit="1" customWidth="1"/>
    <col min="258" max="258" width="9.85546875" style="27" bestFit="1" customWidth="1"/>
    <col min="259" max="260" width="9.140625" style="27"/>
    <col min="261" max="261" width="20.42578125" style="27" bestFit="1" customWidth="1"/>
    <col min="262" max="262" width="9.85546875" style="27" bestFit="1" customWidth="1"/>
    <col min="263" max="495" width="9.140625" style="27"/>
    <col min="496" max="496" width="14.7109375" style="27" bestFit="1" customWidth="1"/>
    <col min="497" max="497" width="16" style="27" customWidth="1"/>
    <col min="498" max="498" width="12.85546875" style="27" bestFit="1" customWidth="1"/>
    <col min="499" max="500" width="10.140625" style="27" bestFit="1" customWidth="1"/>
    <col min="501" max="501" width="22.42578125" style="27" bestFit="1" customWidth="1"/>
    <col min="502" max="502" width="14" style="27" customWidth="1"/>
    <col min="503" max="503" width="4.85546875" style="27" bestFit="1" customWidth="1"/>
    <col min="504" max="504" width="9.42578125" style="27" customWidth="1"/>
    <col min="505" max="505" width="12.42578125" style="27" bestFit="1" customWidth="1"/>
    <col min="506" max="506" width="7.85546875" style="27" bestFit="1" customWidth="1"/>
    <col min="507" max="507" width="5.85546875" style="27" bestFit="1" customWidth="1"/>
    <col min="508" max="508" width="6.140625" style="27" bestFit="1" customWidth="1"/>
    <col min="509" max="509" width="4.42578125" style="27" bestFit="1" customWidth="1"/>
    <col min="510" max="510" width="6.85546875" style="27" bestFit="1" customWidth="1"/>
    <col min="511" max="511" width="4.42578125" style="27" bestFit="1" customWidth="1"/>
    <col min="512" max="512" width="8.42578125" style="27" bestFit="1" customWidth="1"/>
    <col min="513" max="513" width="1.85546875" style="27" bestFit="1" customWidth="1"/>
    <col min="514" max="514" width="9.85546875" style="27" bestFit="1" customWidth="1"/>
    <col min="515" max="516" width="9.140625" style="27"/>
    <col min="517" max="517" width="20.42578125" style="27" bestFit="1" customWidth="1"/>
    <col min="518" max="518" width="9.85546875" style="27" bestFit="1" customWidth="1"/>
    <col min="519" max="751" width="9.140625" style="27"/>
    <col min="752" max="752" width="14.7109375" style="27" bestFit="1" customWidth="1"/>
    <col min="753" max="753" width="16" style="27" customWidth="1"/>
    <col min="754" max="754" width="12.85546875" style="27" bestFit="1" customWidth="1"/>
    <col min="755" max="756" width="10.140625" style="27" bestFit="1" customWidth="1"/>
    <col min="757" max="757" width="22.42578125" style="27" bestFit="1" customWidth="1"/>
    <col min="758" max="758" width="14" style="27" customWidth="1"/>
    <col min="759" max="759" width="4.85546875" style="27" bestFit="1" customWidth="1"/>
    <col min="760" max="760" width="9.42578125" style="27" customWidth="1"/>
    <col min="761" max="761" width="12.42578125" style="27" bestFit="1" customWidth="1"/>
    <col min="762" max="762" width="7.85546875" style="27" bestFit="1" customWidth="1"/>
    <col min="763" max="763" width="5.85546875" style="27" bestFit="1" customWidth="1"/>
    <col min="764" max="764" width="6.140625" style="27" bestFit="1" customWidth="1"/>
    <col min="765" max="765" width="4.42578125" style="27" bestFit="1" customWidth="1"/>
    <col min="766" max="766" width="6.85546875" style="27" bestFit="1" customWidth="1"/>
    <col min="767" max="767" width="4.42578125" style="27" bestFit="1" customWidth="1"/>
    <col min="768" max="768" width="8.42578125" style="27" bestFit="1" customWidth="1"/>
    <col min="769" max="769" width="1.85546875" style="27" bestFit="1" customWidth="1"/>
    <col min="770" max="770" width="9.85546875" style="27" bestFit="1" customWidth="1"/>
    <col min="771" max="772" width="9.140625" style="27"/>
    <col min="773" max="773" width="20.42578125" style="27" bestFit="1" customWidth="1"/>
    <col min="774" max="774" width="9.85546875" style="27" bestFit="1" customWidth="1"/>
    <col min="775" max="1007" width="9.140625" style="27"/>
    <col min="1008" max="1008" width="14.7109375" style="27" bestFit="1" customWidth="1"/>
    <col min="1009" max="1009" width="16" style="27" customWidth="1"/>
    <col min="1010" max="1010" width="12.85546875" style="27" bestFit="1" customWidth="1"/>
    <col min="1011" max="1012" width="10.140625" style="27" bestFit="1" customWidth="1"/>
    <col min="1013" max="1013" width="22.42578125" style="27" bestFit="1" customWidth="1"/>
    <col min="1014" max="1014" width="14" style="27" customWidth="1"/>
    <col min="1015" max="1015" width="4.85546875" style="27" bestFit="1" customWidth="1"/>
    <col min="1016" max="1016" width="9.42578125" style="27" customWidth="1"/>
    <col min="1017" max="1017" width="12.42578125" style="27" bestFit="1" customWidth="1"/>
    <col min="1018" max="1018" width="7.85546875" style="27" bestFit="1" customWidth="1"/>
    <col min="1019" max="1019" width="5.85546875" style="27" bestFit="1" customWidth="1"/>
    <col min="1020" max="1020" width="6.140625" style="27" bestFit="1" customWidth="1"/>
    <col min="1021" max="1021" width="4.42578125" style="27" bestFit="1" customWidth="1"/>
    <col min="1022" max="1022" width="6.85546875" style="27" bestFit="1" customWidth="1"/>
    <col min="1023" max="1023" width="4.42578125" style="27" bestFit="1" customWidth="1"/>
    <col min="1024" max="1024" width="8.42578125" style="27" bestFit="1" customWidth="1"/>
    <col min="1025" max="1025" width="1.85546875" style="27" bestFit="1" customWidth="1"/>
    <col min="1026" max="1026" width="9.85546875" style="27" bestFit="1" customWidth="1"/>
    <col min="1027" max="1028" width="9.140625" style="27"/>
    <col min="1029" max="1029" width="20.42578125" style="27" bestFit="1" customWidth="1"/>
    <col min="1030" max="1030" width="9.85546875" style="27" bestFit="1" customWidth="1"/>
    <col min="1031" max="1263" width="9.140625" style="27"/>
    <col min="1264" max="1264" width="14.7109375" style="27" bestFit="1" customWidth="1"/>
    <col min="1265" max="1265" width="16" style="27" customWidth="1"/>
    <col min="1266" max="1266" width="12.85546875" style="27" bestFit="1" customWidth="1"/>
    <col min="1267" max="1268" width="10.140625" style="27" bestFit="1" customWidth="1"/>
    <col min="1269" max="1269" width="22.42578125" style="27" bestFit="1" customWidth="1"/>
    <col min="1270" max="1270" width="14" style="27" customWidth="1"/>
    <col min="1271" max="1271" width="4.85546875" style="27" bestFit="1" customWidth="1"/>
    <col min="1272" max="1272" width="9.42578125" style="27" customWidth="1"/>
    <col min="1273" max="1273" width="12.42578125" style="27" bestFit="1" customWidth="1"/>
    <col min="1274" max="1274" width="7.85546875" style="27" bestFit="1" customWidth="1"/>
    <col min="1275" max="1275" width="5.85546875" style="27" bestFit="1" customWidth="1"/>
    <col min="1276" max="1276" width="6.140625" style="27" bestFit="1" customWidth="1"/>
    <col min="1277" max="1277" width="4.42578125" style="27" bestFit="1" customWidth="1"/>
    <col min="1278" max="1278" width="6.85546875" style="27" bestFit="1" customWidth="1"/>
    <col min="1279" max="1279" width="4.42578125" style="27" bestFit="1" customWidth="1"/>
    <col min="1280" max="1280" width="8.42578125" style="27" bestFit="1" customWidth="1"/>
    <col min="1281" max="1281" width="1.85546875" style="27" bestFit="1" customWidth="1"/>
    <col min="1282" max="1282" width="9.85546875" style="27" bestFit="1" customWidth="1"/>
    <col min="1283" max="1284" width="9.140625" style="27"/>
    <col min="1285" max="1285" width="20.42578125" style="27" bestFit="1" customWidth="1"/>
    <col min="1286" max="1286" width="9.85546875" style="27" bestFit="1" customWidth="1"/>
    <col min="1287" max="1519" width="9.140625" style="27"/>
    <col min="1520" max="1520" width="14.7109375" style="27" bestFit="1" customWidth="1"/>
    <col min="1521" max="1521" width="16" style="27" customWidth="1"/>
    <col min="1522" max="1522" width="12.85546875" style="27" bestFit="1" customWidth="1"/>
    <col min="1523" max="1524" width="10.140625" style="27" bestFit="1" customWidth="1"/>
    <col min="1525" max="1525" width="22.42578125" style="27" bestFit="1" customWidth="1"/>
    <col min="1526" max="1526" width="14" style="27" customWidth="1"/>
    <col min="1527" max="1527" width="4.85546875" style="27" bestFit="1" customWidth="1"/>
    <col min="1528" max="1528" width="9.42578125" style="27" customWidth="1"/>
    <col min="1529" max="1529" width="12.42578125" style="27" bestFit="1" customWidth="1"/>
    <col min="1530" max="1530" width="7.85546875" style="27" bestFit="1" customWidth="1"/>
    <col min="1531" max="1531" width="5.85546875" style="27" bestFit="1" customWidth="1"/>
    <col min="1532" max="1532" width="6.140625" style="27" bestFit="1" customWidth="1"/>
    <col min="1533" max="1533" width="4.42578125" style="27" bestFit="1" customWidth="1"/>
    <col min="1534" max="1534" width="6.85546875" style="27" bestFit="1" customWidth="1"/>
    <col min="1535" max="1535" width="4.42578125" style="27" bestFit="1" customWidth="1"/>
    <col min="1536" max="1536" width="8.42578125" style="27" bestFit="1" customWidth="1"/>
    <col min="1537" max="1537" width="1.85546875" style="27" bestFit="1" customWidth="1"/>
    <col min="1538" max="1538" width="9.85546875" style="27" bestFit="1" customWidth="1"/>
    <col min="1539" max="1540" width="9.140625" style="27"/>
    <col min="1541" max="1541" width="20.42578125" style="27" bestFit="1" customWidth="1"/>
    <col min="1542" max="1542" width="9.85546875" style="27" bestFit="1" customWidth="1"/>
    <col min="1543" max="1775" width="9.140625" style="27"/>
    <col min="1776" max="1776" width="14.7109375" style="27" bestFit="1" customWidth="1"/>
    <col min="1777" max="1777" width="16" style="27" customWidth="1"/>
    <col min="1778" max="1778" width="12.85546875" style="27" bestFit="1" customWidth="1"/>
    <col min="1779" max="1780" width="10.140625" style="27" bestFit="1" customWidth="1"/>
    <col min="1781" max="1781" width="22.42578125" style="27" bestFit="1" customWidth="1"/>
    <col min="1782" max="1782" width="14" style="27" customWidth="1"/>
    <col min="1783" max="1783" width="4.85546875" style="27" bestFit="1" customWidth="1"/>
    <col min="1784" max="1784" width="9.42578125" style="27" customWidth="1"/>
    <col min="1785" max="1785" width="12.42578125" style="27" bestFit="1" customWidth="1"/>
    <col min="1786" max="1786" width="7.85546875" style="27" bestFit="1" customWidth="1"/>
    <col min="1787" max="1787" width="5.85546875" style="27" bestFit="1" customWidth="1"/>
    <col min="1788" max="1788" width="6.140625" style="27" bestFit="1" customWidth="1"/>
    <col min="1789" max="1789" width="4.42578125" style="27" bestFit="1" customWidth="1"/>
    <col min="1790" max="1790" width="6.85546875" style="27" bestFit="1" customWidth="1"/>
    <col min="1791" max="1791" width="4.42578125" style="27" bestFit="1" customWidth="1"/>
    <col min="1792" max="1792" width="8.42578125" style="27" bestFit="1" customWidth="1"/>
    <col min="1793" max="1793" width="1.85546875" style="27" bestFit="1" customWidth="1"/>
    <col min="1794" max="1794" width="9.85546875" style="27" bestFit="1" customWidth="1"/>
    <col min="1795" max="1796" width="9.140625" style="27"/>
    <col min="1797" max="1797" width="20.42578125" style="27" bestFit="1" customWidth="1"/>
    <col min="1798" max="1798" width="9.85546875" style="27" bestFit="1" customWidth="1"/>
    <col min="1799" max="2031" width="9.140625" style="27"/>
    <col min="2032" max="2032" width="14.7109375" style="27" bestFit="1" customWidth="1"/>
    <col min="2033" max="2033" width="16" style="27" customWidth="1"/>
    <col min="2034" max="2034" width="12.85546875" style="27" bestFit="1" customWidth="1"/>
    <col min="2035" max="2036" width="10.140625" style="27" bestFit="1" customWidth="1"/>
    <col min="2037" max="2037" width="22.42578125" style="27" bestFit="1" customWidth="1"/>
    <col min="2038" max="2038" width="14" style="27" customWidth="1"/>
    <col min="2039" max="2039" width="4.85546875" style="27" bestFit="1" customWidth="1"/>
    <col min="2040" max="2040" width="9.42578125" style="27" customWidth="1"/>
    <col min="2041" max="2041" width="12.42578125" style="27" bestFit="1" customWidth="1"/>
    <col min="2042" max="2042" width="7.85546875" style="27" bestFit="1" customWidth="1"/>
    <col min="2043" max="2043" width="5.85546875" style="27" bestFit="1" customWidth="1"/>
    <col min="2044" max="2044" width="6.140625" style="27" bestFit="1" customWidth="1"/>
    <col min="2045" max="2045" width="4.42578125" style="27" bestFit="1" customWidth="1"/>
    <col min="2046" max="2046" width="6.85546875" style="27" bestFit="1" customWidth="1"/>
    <col min="2047" max="2047" width="4.42578125" style="27" bestFit="1" customWidth="1"/>
    <col min="2048" max="2048" width="8.42578125" style="27" bestFit="1" customWidth="1"/>
    <col min="2049" max="2049" width="1.85546875" style="27" bestFit="1" customWidth="1"/>
    <col min="2050" max="2050" width="9.85546875" style="27" bestFit="1" customWidth="1"/>
    <col min="2051" max="2052" width="9.140625" style="27"/>
    <col min="2053" max="2053" width="20.42578125" style="27" bestFit="1" customWidth="1"/>
    <col min="2054" max="2054" width="9.85546875" style="27" bestFit="1" customWidth="1"/>
    <col min="2055" max="2287" width="9.140625" style="27"/>
    <col min="2288" max="2288" width="14.7109375" style="27" bestFit="1" customWidth="1"/>
    <col min="2289" max="2289" width="16" style="27" customWidth="1"/>
    <col min="2290" max="2290" width="12.85546875" style="27" bestFit="1" customWidth="1"/>
    <col min="2291" max="2292" width="10.140625" style="27" bestFit="1" customWidth="1"/>
    <col min="2293" max="2293" width="22.42578125" style="27" bestFit="1" customWidth="1"/>
    <col min="2294" max="2294" width="14" style="27" customWidth="1"/>
    <col min="2295" max="2295" width="4.85546875" style="27" bestFit="1" customWidth="1"/>
    <col min="2296" max="2296" width="9.42578125" style="27" customWidth="1"/>
    <col min="2297" max="2297" width="12.42578125" style="27" bestFit="1" customWidth="1"/>
    <col min="2298" max="2298" width="7.85546875" style="27" bestFit="1" customWidth="1"/>
    <col min="2299" max="2299" width="5.85546875" style="27" bestFit="1" customWidth="1"/>
    <col min="2300" max="2300" width="6.140625" style="27" bestFit="1" customWidth="1"/>
    <col min="2301" max="2301" width="4.42578125" style="27" bestFit="1" customWidth="1"/>
    <col min="2302" max="2302" width="6.85546875" style="27" bestFit="1" customWidth="1"/>
    <col min="2303" max="2303" width="4.42578125" style="27" bestFit="1" customWidth="1"/>
    <col min="2304" max="2304" width="8.42578125" style="27" bestFit="1" customWidth="1"/>
    <col min="2305" max="2305" width="1.85546875" style="27" bestFit="1" customWidth="1"/>
    <col min="2306" max="2306" width="9.85546875" style="27" bestFit="1" customWidth="1"/>
    <col min="2307" max="2308" width="9.140625" style="27"/>
    <col min="2309" max="2309" width="20.42578125" style="27" bestFit="1" customWidth="1"/>
    <col min="2310" max="2310" width="9.85546875" style="27" bestFit="1" customWidth="1"/>
    <col min="2311" max="2543" width="9.140625" style="27"/>
    <col min="2544" max="2544" width="14.7109375" style="27" bestFit="1" customWidth="1"/>
    <col min="2545" max="2545" width="16" style="27" customWidth="1"/>
    <col min="2546" max="2546" width="12.85546875" style="27" bestFit="1" customWidth="1"/>
    <col min="2547" max="2548" width="10.140625" style="27" bestFit="1" customWidth="1"/>
    <col min="2549" max="2549" width="22.42578125" style="27" bestFit="1" customWidth="1"/>
    <col min="2550" max="2550" width="14" style="27" customWidth="1"/>
    <col min="2551" max="2551" width="4.85546875" style="27" bestFit="1" customWidth="1"/>
    <col min="2552" max="2552" width="9.42578125" style="27" customWidth="1"/>
    <col min="2553" max="2553" width="12.42578125" style="27" bestFit="1" customWidth="1"/>
    <col min="2554" max="2554" width="7.85546875" style="27" bestFit="1" customWidth="1"/>
    <col min="2555" max="2555" width="5.85546875" style="27" bestFit="1" customWidth="1"/>
    <col min="2556" max="2556" width="6.140625" style="27" bestFit="1" customWidth="1"/>
    <col min="2557" max="2557" width="4.42578125" style="27" bestFit="1" customWidth="1"/>
    <col min="2558" max="2558" width="6.85546875" style="27" bestFit="1" customWidth="1"/>
    <col min="2559" max="2559" width="4.42578125" style="27" bestFit="1" customWidth="1"/>
    <col min="2560" max="2560" width="8.42578125" style="27" bestFit="1" customWidth="1"/>
    <col min="2561" max="2561" width="1.85546875" style="27" bestFit="1" customWidth="1"/>
    <col min="2562" max="2562" width="9.85546875" style="27" bestFit="1" customWidth="1"/>
    <col min="2563" max="2564" width="9.140625" style="27"/>
    <col min="2565" max="2565" width="20.42578125" style="27" bestFit="1" customWidth="1"/>
    <col min="2566" max="2566" width="9.85546875" style="27" bestFit="1" customWidth="1"/>
    <col min="2567" max="2799" width="9.140625" style="27"/>
    <col min="2800" max="2800" width="14.7109375" style="27" bestFit="1" customWidth="1"/>
    <col min="2801" max="2801" width="16" style="27" customWidth="1"/>
    <col min="2802" max="2802" width="12.85546875" style="27" bestFit="1" customWidth="1"/>
    <col min="2803" max="2804" width="10.140625" style="27" bestFit="1" customWidth="1"/>
    <col min="2805" max="2805" width="22.42578125" style="27" bestFit="1" customWidth="1"/>
    <col min="2806" max="2806" width="14" style="27" customWidth="1"/>
    <col min="2807" max="2807" width="4.85546875" style="27" bestFit="1" customWidth="1"/>
    <col min="2808" max="2808" width="9.42578125" style="27" customWidth="1"/>
    <col min="2809" max="2809" width="12.42578125" style="27" bestFit="1" customWidth="1"/>
    <col min="2810" max="2810" width="7.85546875" style="27" bestFit="1" customWidth="1"/>
    <col min="2811" max="2811" width="5.85546875" style="27" bestFit="1" customWidth="1"/>
    <col min="2812" max="2812" width="6.140625" style="27" bestFit="1" customWidth="1"/>
    <col min="2813" max="2813" width="4.42578125" style="27" bestFit="1" customWidth="1"/>
    <col min="2814" max="2814" width="6.85546875" style="27" bestFit="1" customWidth="1"/>
    <col min="2815" max="2815" width="4.42578125" style="27" bestFit="1" customWidth="1"/>
    <col min="2816" max="2816" width="8.42578125" style="27" bestFit="1" customWidth="1"/>
    <col min="2817" max="2817" width="1.85546875" style="27" bestFit="1" customWidth="1"/>
    <col min="2818" max="2818" width="9.85546875" style="27" bestFit="1" customWidth="1"/>
    <col min="2819" max="2820" width="9.140625" style="27"/>
    <col min="2821" max="2821" width="20.42578125" style="27" bestFit="1" customWidth="1"/>
    <col min="2822" max="2822" width="9.85546875" style="27" bestFit="1" customWidth="1"/>
    <col min="2823" max="3055" width="9.140625" style="27"/>
    <col min="3056" max="3056" width="14.7109375" style="27" bestFit="1" customWidth="1"/>
    <col min="3057" max="3057" width="16" style="27" customWidth="1"/>
    <col min="3058" max="3058" width="12.85546875" style="27" bestFit="1" customWidth="1"/>
    <col min="3059" max="3060" width="10.140625" style="27" bestFit="1" customWidth="1"/>
    <col min="3061" max="3061" width="22.42578125" style="27" bestFit="1" customWidth="1"/>
    <col min="3062" max="3062" width="14" style="27" customWidth="1"/>
    <col min="3063" max="3063" width="4.85546875" style="27" bestFit="1" customWidth="1"/>
    <col min="3064" max="3064" width="9.42578125" style="27" customWidth="1"/>
    <col min="3065" max="3065" width="12.42578125" style="27" bestFit="1" customWidth="1"/>
    <col min="3066" max="3066" width="7.85546875" style="27" bestFit="1" customWidth="1"/>
    <col min="3067" max="3067" width="5.85546875" style="27" bestFit="1" customWidth="1"/>
    <col min="3068" max="3068" width="6.140625" style="27" bestFit="1" customWidth="1"/>
    <col min="3069" max="3069" width="4.42578125" style="27" bestFit="1" customWidth="1"/>
    <col min="3070" max="3070" width="6.85546875" style="27" bestFit="1" customWidth="1"/>
    <col min="3071" max="3071" width="4.42578125" style="27" bestFit="1" customWidth="1"/>
    <col min="3072" max="3072" width="8.42578125" style="27" bestFit="1" customWidth="1"/>
    <col min="3073" max="3073" width="1.85546875" style="27" bestFit="1" customWidth="1"/>
    <col min="3074" max="3074" width="9.85546875" style="27" bestFit="1" customWidth="1"/>
    <col min="3075" max="3076" width="9.140625" style="27"/>
    <col min="3077" max="3077" width="20.42578125" style="27" bestFit="1" customWidth="1"/>
    <col min="3078" max="3078" width="9.85546875" style="27" bestFit="1" customWidth="1"/>
    <col min="3079" max="3311" width="9.140625" style="27"/>
    <col min="3312" max="3312" width="14.7109375" style="27" bestFit="1" customWidth="1"/>
    <col min="3313" max="3313" width="16" style="27" customWidth="1"/>
    <col min="3314" max="3314" width="12.85546875" style="27" bestFit="1" customWidth="1"/>
    <col min="3315" max="3316" width="10.140625" style="27" bestFit="1" customWidth="1"/>
    <col min="3317" max="3317" width="22.42578125" style="27" bestFit="1" customWidth="1"/>
    <col min="3318" max="3318" width="14" style="27" customWidth="1"/>
    <col min="3319" max="3319" width="4.85546875" style="27" bestFit="1" customWidth="1"/>
    <col min="3320" max="3320" width="9.42578125" style="27" customWidth="1"/>
    <col min="3321" max="3321" width="12.42578125" style="27" bestFit="1" customWidth="1"/>
    <col min="3322" max="3322" width="7.85546875" style="27" bestFit="1" customWidth="1"/>
    <col min="3323" max="3323" width="5.85546875" style="27" bestFit="1" customWidth="1"/>
    <col min="3324" max="3324" width="6.140625" style="27" bestFit="1" customWidth="1"/>
    <col min="3325" max="3325" width="4.42578125" style="27" bestFit="1" customWidth="1"/>
    <col min="3326" max="3326" width="6.85546875" style="27" bestFit="1" customWidth="1"/>
    <col min="3327" max="3327" width="4.42578125" style="27" bestFit="1" customWidth="1"/>
    <col min="3328" max="3328" width="8.42578125" style="27" bestFit="1" customWidth="1"/>
    <col min="3329" max="3329" width="1.85546875" style="27" bestFit="1" customWidth="1"/>
    <col min="3330" max="3330" width="9.85546875" style="27" bestFit="1" customWidth="1"/>
    <col min="3331" max="3332" width="9.140625" style="27"/>
    <col min="3333" max="3333" width="20.42578125" style="27" bestFit="1" customWidth="1"/>
    <col min="3334" max="3334" width="9.85546875" style="27" bestFit="1" customWidth="1"/>
    <col min="3335" max="3567" width="9.140625" style="27"/>
    <col min="3568" max="3568" width="14.7109375" style="27" bestFit="1" customWidth="1"/>
    <col min="3569" max="3569" width="16" style="27" customWidth="1"/>
    <col min="3570" max="3570" width="12.85546875" style="27" bestFit="1" customWidth="1"/>
    <col min="3571" max="3572" width="10.140625" style="27" bestFit="1" customWidth="1"/>
    <col min="3573" max="3573" width="22.42578125" style="27" bestFit="1" customWidth="1"/>
    <col min="3574" max="3574" width="14" style="27" customWidth="1"/>
    <col min="3575" max="3575" width="4.85546875" style="27" bestFit="1" customWidth="1"/>
    <col min="3576" max="3576" width="9.42578125" style="27" customWidth="1"/>
    <col min="3577" max="3577" width="12.42578125" style="27" bestFit="1" customWidth="1"/>
    <col min="3578" max="3578" width="7.85546875" style="27" bestFit="1" customWidth="1"/>
    <col min="3579" max="3579" width="5.85546875" style="27" bestFit="1" customWidth="1"/>
    <col min="3580" max="3580" width="6.140625" style="27" bestFit="1" customWidth="1"/>
    <col min="3581" max="3581" width="4.42578125" style="27" bestFit="1" customWidth="1"/>
    <col min="3582" max="3582" width="6.85546875" style="27" bestFit="1" customWidth="1"/>
    <col min="3583" max="3583" width="4.42578125" style="27" bestFit="1" customWidth="1"/>
    <col min="3584" max="3584" width="8.42578125" style="27" bestFit="1" customWidth="1"/>
    <col min="3585" max="3585" width="1.85546875" style="27" bestFit="1" customWidth="1"/>
    <col min="3586" max="3586" width="9.85546875" style="27" bestFit="1" customWidth="1"/>
    <col min="3587" max="3588" width="9.140625" style="27"/>
    <col min="3589" max="3589" width="20.42578125" style="27" bestFit="1" customWidth="1"/>
    <col min="3590" max="3590" width="9.85546875" style="27" bestFit="1" customWidth="1"/>
    <col min="3591" max="3823" width="9.140625" style="27"/>
    <col min="3824" max="3824" width="14.7109375" style="27" bestFit="1" customWidth="1"/>
    <col min="3825" max="3825" width="16" style="27" customWidth="1"/>
    <col min="3826" max="3826" width="12.85546875" style="27" bestFit="1" customWidth="1"/>
    <col min="3827" max="3828" width="10.140625" style="27" bestFit="1" customWidth="1"/>
    <col min="3829" max="3829" width="22.42578125" style="27" bestFit="1" customWidth="1"/>
    <col min="3830" max="3830" width="14" style="27" customWidth="1"/>
    <col min="3831" max="3831" width="4.85546875" style="27" bestFit="1" customWidth="1"/>
    <col min="3832" max="3832" width="9.42578125" style="27" customWidth="1"/>
    <col min="3833" max="3833" width="12.42578125" style="27" bestFit="1" customWidth="1"/>
    <col min="3834" max="3834" width="7.85546875" style="27" bestFit="1" customWidth="1"/>
    <col min="3835" max="3835" width="5.85546875" style="27" bestFit="1" customWidth="1"/>
    <col min="3836" max="3836" width="6.140625" style="27" bestFit="1" customWidth="1"/>
    <col min="3837" max="3837" width="4.42578125" style="27" bestFit="1" customWidth="1"/>
    <col min="3838" max="3838" width="6.85546875" style="27" bestFit="1" customWidth="1"/>
    <col min="3839" max="3839" width="4.42578125" style="27" bestFit="1" customWidth="1"/>
    <col min="3840" max="3840" width="8.42578125" style="27" bestFit="1" customWidth="1"/>
    <col min="3841" max="3841" width="1.85546875" style="27" bestFit="1" customWidth="1"/>
    <col min="3842" max="3842" width="9.85546875" style="27" bestFit="1" customWidth="1"/>
    <col min="3843" max="3844" width="9.140625" style="27"/>
    <col min="3845" max="3845" width="20.42578125" style="27" bestFit="1" customWidth="1"/>
    <col min="3846" max="3846" width="9.85546875" style="27" bestFit="1" customWidth="1"/>
    <col min="3847" max="4079" width="9.140625" style="27"/>
    <col min="4080" max="4080" width="14.7109375" style="27" bestFit="1" customWidth="1"/>
    <col min="4081" max="4081" width="16" style="27" customWidth="1"/>
    <col min="4082" max="4082" width="12.85546875" style="27" bestFit="1" customWidth="1"/>
    <col min="4083" max="4084" width="10.140625" style="27" bestFit="1" customWidth="1"/>
    <col min="4085" max="4085" width="22.42578125" style="27" bestFit="1" customWidth="1"/>
    <col min="4086" max="4086" width="14" style="27" customWidth="1"/>
    <col min="4087" max="4087" width="4.85546875" style="27" bestFit="1" customWidth="1"/>
    <col min="4088" max="4088" width="9.42578125" style="27" customWidth="1"/>
    <col min="4089" max="4089" width="12.42578125" style="27" bestFit="1" customWidth="1"/>
    <col min="4090" max="4090" width="7.85546875" style="27" bestFit="1" customWidth="1"/>
    <col min="4091" max="4091" width="5.85546875" style="27" bestFit="1" customWidth="1"/>
    <col min="4092" max="4092" width="6.140625" style="27" bestFit="1" customWidth="1"/>
    <col min="4093" max="4093" width="4.42578125" style="27" bestFit="1" customWidth="1"/>
    <col min="4094" max="4094" width="6.85546875" style="27" bestFit="1" customWidth="1"/>
    <col min="4095" max="4095" width="4.42578125" style="27" bestFit="1" customWidth="1"/>
    <col min="4096" max="4096" width="8.42578125" style="27" bestFit="1" customWidth="1"/>
    <col min="4097" max="4097" width="1.85546875" style="27" bestFit="1" customWidth="1"/>
    <col min="4098" max="4098" width="9.85546875" style="27" bestFit="1" customWidth="1"/>
    <col min="4099" max="4100" width="9.140625" style="27"/>
    <col min="4101" max="4101" width="20.42578125" style="27" bestFit="1" customWidth="1"/>
    <col min="4102" max="4102" width="9.85546875" style="27" bestFit="1" customWidth="1"/>
    <col min="4103" max="4335" width="9.140625" style="27"/>
    <col min="4336" max="4336" width="14.7109375" style="27" bestFit="1" customWidth="1"/>
    <col min="4337" max="4337" width="16" style="27" customWidth="1"/>
    <col min="4338" max="4338" width="12.85546875" style="27" bestFit="1" customWidth="1"/>
    <col min="4339" max="4340" width="10.140625" style="27" bestFit="1" customWidth="1"/>
    <col min="4341" max="4341" width="22.42578125" style="27" bestFit="1" customWidth="1"/>
    <col min="4342" max="4342" width="14" style="27" customWidth="1"/>
    <col min="4343" max="4343" width="4.85546875" style="27" bestFit="1" customWidth="1"/>
    <col min="4344" max="4344" width="9.42578125" style="27" customWidth="1"/>
    <col min="4345" max="4345" width="12.42578125" style="27" bestFit="1" customWidth="1"/>
    <col min="4346" max="4346" width="7.85546875" style="27" bestFit="1" customWidth="1"/>
    <col min="4347" max="4347" width="5.85546875" style="27" bestFit="1" customWidth="1"/>
    <col min="4348" max="4348" width="6.140625" style="27" bestFit="1" customWidth="1"/>
    <col min="4349" max="4349" width="4.42578125" style="27" bestFit="1" customWidth="1"/>
    <col min="4350" max="4350" width="6.85546875" style="27" bestFit="1" customWidth="1"/>
    <col min="4351" max="4351" width="4.42578125" style="27" bestFit="1" customWidth="1"/>
    <col min="4352" max="4352" width="8.42578125" style="27" bestFit="1" customWidth="1"/>
    <col min="4353" max="4353" width="1.85546875" style="27" bestFit="1" customWidth="1"/>
    <col min="4354" max="4354" width="9.85546875" style="27" bestFit="1" customWidth="1"/>
    <col min="4355" max="4356" width="9.140625" style="27"/>
    <col min="4357" max="4357" width="20.42578125" style="27" bestFit="1" customWidth="1"/>
    <col min="4358" max="4358" width="9.85546875" style="27" bestFit="1" customWidth="1"/>
    <col min="4359" max="4591" width="9.140625" style="27"/>
    <col min="4592" max="4592" width="14.7109375" style="27" bestFit="1" customWidth="1"/>
    <col min="4593" max="4593" width="16" style="27" customWidth="1"/>
    <col min="4594" max="4594" width="12.85546875" style="27" bestFit="1" customWidth="1"/>
    <col min="4595" max="4596" width="10.140625" style="27" bestFit="1" customWidth="1"/>
    <col min="4597" max="4597" width="22.42578125" style="27" bestFit="1" customWidth="1"/>
    <col min="4598" max="4598" width="14" style="27" customWidth="1"/>
    <col min="4599" max="4599" width="4.85546875" style="27" bestFit="1" customWidth="1"/>
    <col min="4600" max="4600" width="9.42578125" style="27" customWidth="1"/>
    <col min="4601" max="4601" width="12.42578125" style="27" bestFit="1" customWidth="1"/>
    <col min="4602" max="4602" width="7.85546875" style="27" bestFit="1" customWidth="1"/>
    <col min="4603" max="4603" width="5.85546875" style="27" bestFit="1" customWidth="1"/>
    <col min="4604" max="4604" width="6.140625" style="27" bestFit="1" customWidth="1"/>
    <col min="4605" max="4605" width="4.42578125" style="27" bestFit="1" customWidth="1"/>
    <col min="4606" max="4606" width="6.85546875" style="27" bestFit="1" customWidth="1"/>
    <col min="4607" max="4607" width="4.42578125" style="27" bestFit="1" customWidth="1"/>
    <col min="4608" max="4608" width="8.42578125" style="27" bestFit="1" customWidth="1"/>
    <col min="4609" max="4609" width="1.85546875" style="27" bestFit="1" customWidth="1"/>
    <col min="4610" max="4610" width="9.85546875" style="27" bestFit="1" customWidth="1"/>
    <col min="4611" max="4612" width="9.140625" style="27"/>
    <col min="4613" max="4613" width="20.42578125" style="27" bestFit="1" customWidth="1"/>
    <col min="4614" max="4614" width="9.85546875" style="27" bestFit="1" customWidth="1"/>
    <col min="4615" max="4847" width="9.140625" style="27"/>
    <col min="4848" max="4848" width="14.7109375" style="27" bestFit="1" customWidth="1"/>
    <col min="4849" max="4849" width="16" style="27" customWidth="1"/>
    <col min="4850" max="4850" width="12.85546875" style="27" bestFit="1" customWidth="1"/>
    <col min="4851" max="4852" width="10.140625" style="27" bestFit="1" customWidth="1"/>
    <col min="4853" max="4853" width="22.42578125" style="27" bestFit="1" customWidth="1"/>
    <col min="4854" max="4854" width="14" style="27" customWidth="1"/>
    <col min="4855" max="4855" width="4.85546875" style="27" bestFit="1" customWidth="1"/>
    <col min="4856" max="4856" width="9.42578125" style="27" customWidth="1"/>
    <col min="4857" max="4857" width="12.42578125" style="27" bestFit="1" customWidth="1"/>
    <col min="4858" max="4858" width="7.85546875" style="27" bestFit="1" customWidth="1"/>
    <col min="4859" max="4859" width="5.85546875" style="27" bestFit="1" customWidth="1"/>
    <col min="4860" max="4860" width="6.140625" style="27" bestFit="1" customWidth="1"/>
    <col min="4861" max="4861" width="4.42578125" style="27" bestFit="1" customWidth="1"/>
    <col min="4862" max="4862" width="6.85546875" style="27" bestFit="1" customWidth="1"/>
    <col min="4863" max="4863" width="4.42578125" style="27" bestFit="1" customWidth="1"/>
    <col min="4864" max="4864" width="8.42578125" style="27" bestFit="1" customWidth="1"/>
    <col min="4865" max="4865" width="1.85546875" style="27" bestFit="1" customWidth="1"/>
    <col min="4866" max="4866" width="9.85546875" style="27" bestFit="1" customWidth="1"/>
    <col min="4867" max="4868" width="9.140625" style="27"/>
    <col min="4869" max="4869" width="20.42578125" style="27" bestFit="1" customWidth="1"/>
    <col min="4870" max="4870" width="9.85546875" style="27" bestFit="1" customWidth="1"/>
    <col min="4871" max="5103" width="9.140625" style="27"/>
    <col min="5104" max="5104" width="14.7109375" style="27" bestFit="1" customWidth="1"/>
    <col min="5105" max="5105" width="16" style="27" customWidth="1"/>
    <col min="5106" max="5106" width="12.85546875" style="27" bestFit="1" customWidth="1"/>
    <col min="5107" max="5108" width="10.140625" style="27" bestFit="1" customWidth="1"/>
    <col min="5109" max="5109" width="22.42578125" style="27" bestFit="1" customWidth="1"/>
    <col min="5110" max="5110" width="14" style="27" customWidth="1"/>
    <col min="5111" max="5111" width="4.85546875" style="27" bestFit="1" customWidth="1"/>
    <col min="5112" max="5112" width="9.42578125" style="27" customWidth="1"/>
    <col min="5113" max="5113" width="12.42578125" style="27" bestFit="1" customWidth="1"/>
    <col min="5114" max="5114" width="7.85546875" style="27" bestFit="1" customWidth="1"/>
    <col min="5115" max="5115" width="5.85546875" style="27" bestFit="1" customWidth="1"/>
    <col min="5116" max="5116" width="6.140625" style="27" bestFit="1" customWidth="1"/>
    <col min="5117" max="5117" width="4.42578125" style="27" bestFit="1" customWidth="1"/>
    <col min="5118" max="5118" width="6.85546875" style="27" bestFit="1" customWidth="1"/>
    <col min="5119" max="5119" width="4.42578125" style="27" bestFit="1" customWidth="1"/>
    <col min="5120" max="5120" width="8.42578125" style="27" bestFit="1" customWidth="1"/>
    <col min="5121" max="5121" width="1.85546875" style="27" bestFit="1" customWidth="1"/>
    <col min="5122" max="5122" width="9.85546875" style="27" bestFit="1" customWidth="1"/>
    <col min="5123" max="5124" width="9.140625" style="27"/>
    <col min="5125" max="5125" width="20.42578125" style="27" bestFit="1" customWidth="1"/>
    <col min="5126" max="5126" width="9.85546875" style="27" bestFit="1" customWidth="1"/>
    <col min="5127" max="5359" width="9.140625" style="27"/>
    <col min="5360" max="5360" width="14.7109375" style="27" bestFit="1" customWidth="1"/>
    <col min="5361" max="5361" width="16" style="27" customWidth="1"/>
    <col min="5362" max="5362" width="12.85546875" style="27" bestFit="1" customWidth="1"/>
    <col min="5363" max="5364" width="10.140625" style="27" bestFit="1" customWidth="1"/>
    <col min="5365" max="5365" width="22.42578125" style="27" bestFit="1" customWidth="1"/>
    <col min="5366" max="5366" width="14" style="27" customWidth="1"/>
    <col min="5367" max="5367" width="4.85546875" style="27" bestFit="1" customWidth="1"/>
    <col min="5368" max="5368" width="9.42578125" style="27" customWidth="1"/>
    <col min="5369" max="5369" width="12.42578125" style="27" bestFit="1" customWidth="1"/>
    <col min="5370" max="5370" width="7.85546875" style="27" bestFit="1" customWidth="1"/>
    <col min="5371" max="5371" width="5.85546875" style="27" bestFit="1" customWidth="1"/>
    <col min="5372" max="5372" width="6.140625" style="27" bestFit="1" customWidth="1"/>
    <col min="5373" max="5373" width="4.42578125" style="27" bestFit="1" customWidth="1"/>
    <col min="5374" max="5374" width="6.85546875" style="27" bestFit="1" customWidth="1"/>
    <col min="5375" max="5375" width="4.42578125" style="27" bestFit="1" customWidth="1"/>
    <col min="5376" max="5376" width="8.42578125" style="27" bestFit="1" customWidth="1"/>
    <col min="5377" max="5377" width="1.85546875" style="27" bestFit="1" customWidth="1"/>
    <col min="5378" max="5378" width="9.85546875" style="27" bestFit="1" customWidth="1"/>
    <col min="5379" max="5380" width="9.140625" style="27"/>
    <col min="5381" max="5381" width="20.42578125" style="27" bestFit="1" customWidth="1"/>
    <col min="5382" max="5382" width="9.85546875" style="27" bestFit="1" customWidth="1"/>
    <col min="5383" max="5615" width="9.140625" style="27"/>
    <col min="5616" max="5616" width="14.7109375" style="27" bestFit="1" customWidth="1"/>
    <col min="5617" max="5617" width="16" style="27" customWidth="1"/>
    <col min="5618" max="5618" width="12.85546875" style="27" bestFit="1" customWidth="1"/>
    <col min="5619" max="5620" width="10.140625" style="27" bestFit="1" customWidth="1"/>
    <col min="5621" max="5621" width="22.42578125" style="27" bestFit="1" customWidth="1"/>
    <col min="5622" max="5622" width="14" style="27" customWidth="1"/>
    <col min="5623" max="5623" width="4.85546875" style="27" bestFit="1" customWidth="1"/>
    <col min="5624" max="5624" width="9.42578125" style="27" customWidth="1"/>
    <col min="5625" max="5625" width="12.42578125" style="27" bestFit="1" customWidth="1"/>
    <col min="5626" max="5626" width="7.85546875" style="27" bestFit="1" customWidth="1"/>
    <col min="5627" max="5627" width="5.85546875" style="27" bestFit="1" customWidth="1"/>
    <col min="5628" max="5628" width="6.140625" style="27" bestFit="1" customWidth="1"/>
    <col min="5629" max="5629" width="4.42578125" style="27" bestFit="1" customWidth="1"/>
    <col min="5630" max="5630" width="6.85546875" style="27" bestFit="1" customWidth="1"/>
    <col min="5631" max="5631" width="4.42578125" style="27" bestFit="1" customWidth="1"/>
    <col min="5632" max="5632" width="8.42578125" style="27" bestFit="1" customWidth="1"/>
    <col min="5633" max="5633" width="1.85546875" style="27" bestFit="1" customWidth="1"/>
    <col min="5634" max="5634" width="9.85546875" style="27" bestFit="1" customWidth="1"/>
    <col min="5635" max="5636" width="9.140625" style="27"/>
    <col min="5637" max="5637" width="20.42578125" style="27" bestFit="1" customWidth="1"/>
    <col min="5638" max="5638" width="9.85546875" style="27" bestFit="1" customWidth="1"/>
    <col min="5639" max="5871" width="9.140625" style="27"/>
    <col min="5872" max="5872" width="14.7109375" style="27" bestFit="1" customWidth="1"/>
    <col min="5873" max="5873" width="16" style="27" customWidth="1"/>
    <col min="5874" max="5874" width="12.85546875" style="27" bestFit="1" customWidth="1"/>
    <col min="5875" max="5876" width="10.140625" style="27" bestFit="1" customWidth="1"/>
    <col min="5877" max="5877" width="22.42578125" style="27" bestFit="1" customWidth="1"/>
    <col min="5878" max="5878" width="14" style="27" customWidth="1"/>
    <col min="5879" max="5879" width="4.85546875" style="27" bestFit="1" customWidth="1"/>
    <col min="5880" max="5880" width="9.42578125" style="27" customWidth="1"/>
    <col min="5881" max="5881" width="12.42578125" style="27" bestFit="1" customWidth="1"/>
    <col min="5882" max="5882" width="7.85546875" style="27" bestFit="1" customWidth="1"/>
    <col min="5883" max="5883" width="5.85546875" style="27" bestFit="1" customWidth="1"/>
    <col min="5884" max="5884" width="6.140625" style="27" bestFit="1" customWidth="1"/>
    <col min="5885" max="5885" width="4.42578125" style="27" bestFit="1" customWidth="1"/>
    <col min="5886" max="5886" width="6.85546875" style="27" bestFit="1" customWidth="1"/>
    <col min="5887" max="5887" width="4.42578125" style="27" bestFit="1" customWidth="1"/>
    <col min="5888" max="5888" width="8.42578125" style="27" bestFit="1" customWidth="1"/>
    <col min="5889" max="5889" width="1.85546875" style="27" bestFit="1" customWidth="1"/>
    <col min="5890" max="5890" width="9.85546875" style="27" bestFit="1" customWidth="1"/>
    <col min="5891" max="5892" width="9.140625" style="27"/>
    <col min="5893" max="5893" width="20.42578125" style="27" bestFit="1" customWidth="1"/>
    <col min="5894" max="5894" width="9.85546875" style="27" bestFit="1" customWidth="1"/>
    <col min="5895" max="6127" width="9.140625" style="27"/>
    <col min="6128" max="6128" width="14.7109375" style="27" bestFit="1" customWidth="1"/>
    <col min="6129" max="6129" width="16" style="27" customWidth="1"/>
    <col min="6130" max="6130" width="12.85546875" style="27" bestFit="1" customWidth="1"/>
    <col min="6131" max="6132" width="10.140625" style="27" bestFit="1" customWidth="1"/>
    <col min="6133" max="6133" width="22.42578125" style="27" bestFit="1" customWidth="1"/>
    <col min="6134" max="6134" width="14" style="27" customWidth="1"/>
    <col min="6135" max="6135" width="4.85546875" style="27" bestFit="1" customWidth="1"/>
    <col min="6136" max="6136" width="9.42578125" style="27" customWidth="1"/>
    <col min="6137" max="6137" width="12.42578125" style="27" bestFit="1" customWidth="1"/>
    <col min="6138" max="6138" width="7.85546875" style="27" bestFit="1" customWidth="1"/>
    <col min="6139" max="6139" width="5.85546875" style="27" bestFit="1" customWidth="1"/>
    <col min="6140" max="6140" width="6.140625" style="27" bestFit="1" customWidth="1"/>
    <col min="6141" max="6141" width="4.42578125" style="27" bestFit="1" customWidth="1"/>
    <col min="6142" max="6142" width="6.85546875" style="27" bestFit="1" customWidth="1"/>
    <col min="6143" max="6143" width="4.42578125" style="27" bestFit="1" customWidth="1"/>
    <col min="6144" max="6144" width="8.42578125" style="27" bestFit="1" customWidth="1"/>
    <col min="6145" max="6145" width="1.85546875" style="27" bestFit="1" customWidth="1"/>
    <col min="6146" max="6146" width="9.85546875" style="27" bestFit="1" customWidth="1"/>
    <col min="6147" max="6148" width="9.140625" style="27"/>
    <col min="6149" max="6149" width="20.42578125" style="27" bestFit="1" customWidth="1"/>
    <col min="6150" max="6150" width="9.85546875" style="27" bestFit="1" customWidth="1"/>
    <col min="6151" max="6383" width="9.140625" style="27"/>
    <col min="6384" max="6384" width="14.7109375" style="27" bestFit="1" customWidth="1"/>
    <col min="6385" max="6385" width="16" style="27" customWidth="1"/>
    <col min="6386" max="6386" width="12.85546875" style="27" bestFit="1" customWidth="1"/>
    <col min="6387" max="6388" width="10.140625" style="27" bestFit="1" customWidth="1"/>
    <col min="6389" max="6389" width="22.42578125" style="27" bestFit="1" customWidth="1"/>
    <col min="6390" max="6390" width="14" style="27" customWidth="1"/>
    <col min="6391" max="6391" width="4.85546875" style="27" bestFit="1" customWidth="1"/>
    <col min="6392" max="6392" width="9.42578125" style="27" customWidth="1"/>
    <col min="6393" max="6393" width="12.42578125" style="27" bestFit="1" customWidth="1"/>
    <col min="6394" max="6394" width="7.85546875" style="27" bestFit="1" customWidth="1"/>
    <col min="6395" max="6395" width="5.85546875" style="27" bestFit="1" customWidth="1"/>
    <col min="6396" max="6396" width="6.140625" style="27" bestFit="1" customWidth="1"/>
    <col min="6397" max="6397" width="4.42578125" style="27" bestFit="1" customWidth="1"/>
    <col min="6398" max="6398" width="6.85546875" style="27" bestFit="1" customWidth="1"/>
    <col min="6399" max="6399" width="4.42578125" style="27" bestFit="1" customWidth="1"/>
    <col min="6400" max="6400" width="8.42578125" style="27" bestFit="1" customWidth="1"/>
    <col min="6401" max="6401" width="1.85546875" style="27" bestFit="1" customWidth="1"/>
    <col min="6402" max="6402" width="9.85546875" style="27" bestFit="1" customWidth="1"/>
    <col min="6403" max="6404" width="9.140625" style="27"/>
    <col min="6405" max="6405" width="20.42578125" style="27" bestFit="1" customWidth="1"/>
    <col min="6406" max="6406" width="9.85546875" style="27" bestFit="1" customWidth="1"/>
    <col min="6407" max="6639" width="9.140625" style="27"/>
    <col min="6640" max="6640" width="14.7109375" style="27" bestFit="1" customWidth="1"/>
    <col min="6641" max="6641" width="16" style="27" customWidth="1"/>
    <col min="6642" max="6642" width="12.85546875" style="27" bestFit="1" customWidth="1"/>
    <col min="6643" max="6644" width="10.140625" style="27" bestFit="1" customWidth="1"/>
    <col min="6645" max="6645" width="22.42578125" style="27" bestFit="1" customWidth="1"/>
    <col min="6646" max="6646" width="14" style="27" customWidth="1"/>
    <col min="6647" max="6647" width="4.85546875" style="27" bestFit="1" customWidth="1"/>
    <col min="6648" max="6648" width="9.42578125" style="27" customWidth="1"/>
    <col min="6649" max="6649" width="12.42578125" style="27" bestFit="1" customWidth="1"/>
    <col min="6650" max="6650" width="7.85546875" style="27" bestFit="1" customWidth="1"/>
    <col min="6651" max="6651" width="5.85546875" style="27" bestFit="1" customWidth="1"/>
    <col min="6652" max="6652" width="6.140625" style="27" bestFit="1" customWidth="1"/>
    <col min="6653" max="6653" width="4.42578125" style="27" bestFit="1" customWidth="1"/>
    <col min="6654" max="6654" width="6.85546875" style="27" bestFit="1" customWidth="1"/>
    <col min="6655" max="6655" width="4.42578125" style="27" bestFit="1" customWidth="1"/>
    <col min="6656" max="6656" width="8.42578125" style="27" bestFit="1" customWidth="1"/>
    <col min="6657" max="6657" width="1.85546875" style="27" bestFit="1" customWidth="1"/>
    <col min="6658" max="6658" width="9.85546875" style="27" bestFit="1" customWidth="1"/>
    <col min="6659" max="6660" width="9.140625" style="27"/>
    <col min="6661" max="6661" width="20.42578125" style="27" bestFit="1" customWidth="1"/>
    <col min="6662" max="6662" width="9.85546875" style="27" bestFit="1" customWidth="1"/>
    <col min="6663" max="6895" width="9.140625" style="27"/>
    <col min="6896" max="6896" width="14.7109375" style="27" bestFit="1" customWidth="1"/>
    <col min="6897" max="6897" width="16" style="27" customWidth="1"/>
    <col min="6898" max="6898" width="12.85546875" style="27" bestFit="1" customWidth="1"/>
    <col min="6899" max="6900" width="10.140625" style="27" bestFit="1" customWidth="1"/>
    <col min="6901" max="6901" width="22.42578125" style="27" bestFit="1" customWidth="1"/>
    <col min="6902" max="6902" width="14" style="27" customWidth="1"/>
    <col min="6903" max="6903" width="4.85546875" style="27" bestFit="1" customWidth="1"/>
    <col min="6904" max="6904" width="9.42578125" style="27" customWidth="1"/>
    <col min="6905" max="6905" width="12.42578125" style="27" bestFit="1" customWidth="1"/>
    <col min="6906" max="6906" width="7.85546875" style="27" bestFit="1" customWidth="1"/>
    <col min="6907" max="6907" width="5.85546875" style="27" bestFit="1" customWidth="1"/>
    <col min="6908" max="6908" width="6.140625" style="27" bestFit="1" customWidth="1"/>
    <col min="6909" max="6909" width="4.42578125" style="27" bestFit="1" customWidth="1"/>
    <col min="6910" max="6910" width="6.85546875" style="27" bestFit="1" customWidth="1"/>
    <col min="6911" max="6911" width="4.42578125" style="27" bestFit="1" customWidth="1"/>
    <col min="6912" max="6912" width="8.42578125" style="27" bestFit="1" customWidth="1"/>
    <col min="6913" max="6913" width="1.85546875" style="27" bestFit="1" customWidth="1"/>
    <col min="6914" max="6914" width="9.85546875" style="27" bestFit="1" customWidth="1"/>
    <col min="6915" max="6916" width="9.140625" style="27"/>
    <col min="6917" max="6917" width="20.42578125" style="27" bestFit="1" customWidth="1"/>
    <col min="6918" max="6918" width="9.85546875" style="27" bestFit="1" customWidth="1"/>
    <col min="6919" max="7151" width="9.140625" style="27"/>
    <col min="7152" max="7152" width="14.7109375" style="27" bestFit="1" customWidth="1"/>
    <col min="7153" max="7153" width="16" style="27" customWidth="1"/>
    <col min="7154" max="7154" width="12.85546875" style="27" bestFit="1" customWidth="1"/>
    <col min="7155" max="7156" width="10.140625" style="27" bestFit="1" customWidth="1"/>
    <col min="7157" max="7157" width="22.42578125" style="27" bestFit="1" customWidth="1"/>
    <col min="7158" max="7158" width="14" style="27" customWidth="1"/>
    <col min="7159" max="7159" width="4.85546875" style="27" bestFit="1" customWidth="1"/>
    <col min="7160" max="7160" width="9.42578125" style="27" customWidth="1"/>
    <col min="7161" max="7161" width="12.42578125" style="27" bestFit="1" customWidth="1"/>
    <col min="7162" max="7162" width="7.85546875" style="27" bestFit="1" customWidth="1"/>
    <col min="7163" max="7163" width="5.85546875" style="27" bestFit="1" customWidth="1"/>
    <col min="7164" max="7164" width="6.140625" style="27" bestFit="1" customWidth="1"/>
    <col min="7165" max="7165" width="4.42578125" style="27" bestFit="1" customWidth="1"/>
    <col min="7166" max="7166" width="6.85546875" style="27" bestFit="1" customWidth="1"/>
    <col min="7167" max="7167" width="4.42578125" style="27" bestFit="1" customWidth="1"/>
    <col min="7168" max="7168" width="8.42578125" style="27" bestFit="1" customWidth="1"/>
    <col min="7169" max="7169" width="1.85546875" style="27" bestFit="1" customWidth="1"/>
    <col min="7170" max="7170" width="9.85546875" style="27" bestFit="1" customWidth="1"/>
    <col min="7171" max="7172" width="9.140625" style="27"/>
    <col min="7173" max="7173" width="20.42578125" style="27" bestFit="1" customWidth="1"/>
    <col min="7174" max="7174" width="9.85546875" style="27" bestFit="1" customWidth="1"/>
    <col min="7175" max="7407" width="9.140625" style="27"/>
    <col min="7408" max="7408" width="14.7109375" style="27" bestFit="1" customWidth="1"/>
    <col min="7409" max="7409" width="16" style="27" customWidth="1"/>
    <col min="7410" max="7410" width="12.85546875" style="27" bestFit="1" customWidth="1"/>
    <col min="7411" max="7412" width="10.140625" style="27" bestFit="1" customWidth="1"/>
    <col min="7413" max="7413" width="22.42578125" style="27" bestFit="1" customWidth="1"/>
    <col min="7414" max="7414" width="14" style="27" customWidth="1"/>
    <col min="7415" max="7415" width="4.85546875" style="27" bestFit="1" customWidth="1"/>
    <col min="7416" max="7416" width="9.42578125" style="27" customWidth="1"/>
    <col min="7417" max="7417" width="12.42578125" style="27" bestFit="1" customWidth="1"/>
    <col min="7418" max="7418" width="7.85546875" style="27" bestFit="1" customWidth="1"/>
    <col min="7419" max="7419" width="5.85546875" style="27" bestFit="1" customWidth="1"/>
    <col min="7420" max="7420" width="6.140625" style="27" bestFit="1" customWidth="1"/>
    <col min="7421" max="7421" width="4.42578125" style="27" bestFit="1" customWidth="1"/>
    <col min="7422" max="7422" width="6.85546875" style="27" bestFit="1" customWidth="1"/>
    <col min="7423" max="7423" width="4.42578125" style="27" bestFit="1" customWidth="1"/>
    <col min="7424" max="7424" width="8.42578125" style="27" bestFit="1" customWidth="1"/>
    <col min="7425" max="7425" width="1.85546875" style="27" bestFit="1" customWidth="1"/>
    <col min="7426" max="7426" width="9.85546875" style="27" bestFit="1" customWidth="1"/>
    <col min="7427" max="7428" width="9.140625" style="27"/>
    <col min="7429" max="7429" width="20.42578125" style="27" bestFit="1" customWidth="1"/>
    <col min="7430" max="7430" width="9.85546875" style="27" bestFit="1" customWidth="1"/>
    <col min="7431" max="7663" width="9.140625" style="27"/>
    <col min="7664" max="7664" width="14.7109375" style="27" bestFit="1" customWidth="1"/>
    <col min="7665" max="7665" width="16" style="27" customWidth="1"/>
    <col min="7666" max="7666" width="12.85546875" style="27" bestFit="1" customWidth="1"/>
    <col min="7667" max="7668" width="10.140625" style="27" bestFit="1" customWidth="1"/>
    <col min="7669" max="7669" width="22.42578125" style="27" bestFit="1" customWidth="1"/>
    <col min="7670" max="7670" width="14" style="27" customWidth="1"/>
    <col min="7671" max="7671" width="4.85546875" style="27" bestFit="1" customWidth="1"/>
    <col min="7672" max="7672" width="9.42578125" style="27" customWidth="1"/>
    <col min="7673" max="7673" width="12.42578125" style="27" bestFit="1" customWidth="1"/>
    <col min="7674" max="7674" width="7.85546875" style="27" bestFit="1" customWidth="1"/>
    <col min="7675" max="7675" width="5.85546875" style="27" bestFit="1" customWidth="1"/>
    <col min="7676" max="7676" width="6.140625" style="27" bestFit="1" customWidth="1"/>
    <col min="7677" max="7677" width="4.42578125" style="27" bestFit="1" customWidth="1"/>
    <col min="7678" max="7678" width="6.85546875" style="27" bestFit="1" customWidth="1"/>
    <col min="7679" max="7679" width="4.42578125" style="27" bestFit="1" customWidth="1"/>
    <col min="7680" max="7680" width="8.42578125" style="27" bestFit="1" customWidth="1"/>
    <col min="7681" max="7681" width="1.85546875" style="27" bestFit="1" customWidth="1"/>
    <col min="7682" max="7682" width="9.85546875" style="27" bestFit="1" customWidth="1"/>
    <col min="7683" max="7684" width="9.140625" style="27"/>
    <col min="7685" max="7685" width="20.42578125" style="27" bestFit="1" customWidth="1"/>
    <col min="7686" max="7686" width="9.85546875" style="27" bestFit="1" customWidth="1"/>
    <col min="7687" max="7919" width="9.140625" style="27"/>
    <col min="7920" max="7920" width="14.7109375" style="27" bestFit="1" customWidth="1"/>
    <col min="7921" max="7921" width="16" style="27" customWidth="1"/>
    <col min="7922" max="7922" width="12.85546875" style="27" bestFit="1" customWidth="1"/>
    <col min="7923" max="7924" width="10.140625" style="27" bestFit="1" customWidth="1"/>
    <col min="7925" max="7925" width="22.42578125" style="27" bestFit="1" customWidth="1"/>
    <col min="7926" max="7926" width="14" style="27" customWidth="1"/>
    <col min="7927" max="7927" width="4.85546875" style="27" bestFit="1" customWidth="1"/>
    <col min="7928" max="7928" width="9.42578125" style="27" customWidth="1"/>
    <col min="7929" max="7929" width="12.42578125" style="27" bestFit="1" customWidth="1"/>
    <col min="7930" max="7930" width="7.85546875" style="27" bestFit="1" customWidth="1"/>
    <col min="7931" max="7931" width="5.85546875" style="27" bestFit="1" customWidth="1"/>
    <col min="7932" max="7932" width="6.140625" style="27" bestFit="1" customWidth="1"/>
    <col min="7933" max="7933" width="4.42578125" style="27" bestFit="1" customWidth="1"/>
    <col min="7934" max="7934" width="6.85546875" style="27" bestFit="1" customWidth="1"/>
    <col min="7935" max="7935" width="4.42578125" style="27" bestFit="1" customWidth="1"/>
    <col min="7936" max="7936" width="8.42578125" style="27" bestFit="1" customWidth="1"/>
    <col min="7937" max="7937" width="1.85546875" style="27" bestFit="1" customWidth="1"/>
    <col min="7938" max="7938" width="9.85546875" style="27" bestFit="1" customWidth="1"/>
    <col min="7939" max="7940" width="9.140625" style="27"/>
    <col min="7941" max="7941" width="20.42578125" style="27" bestFit="1" customWidth="1"/>
    <col min="7942" max="7942" width="9.85546875" style="27" bestFit="1" customWidth="1"/>
    <col min="7943" max="8175" width="9.140625" style="27"/>
    <col min="8176" max="8176" width="14.7109375" style="27" bestFit="1" customWidth="1"/>
    <col min="8177" max="8177" width="16" style="27" customWidth="1"/>
    <col min="8178" max="8178" width="12.85546875" style="27" bestFit="1" customWidth="1"/>
    <col min="8179" max="8180" width="10.140625" style="27" bestFit="1" customWidth="1"/>
    <col min="8181" max="8181" width="22.42578125" style="27" bestFit="1" customWidth="1"/>
    <col min="8182" max="8182" width="14" style="27" customWidth="1"/>
    <col min="8183" max="8183" width="4.85546875" style="27" bestFit="1" customWidth="1"/>
    <col min="8184" max="8184" width="9.42578125" style="27" customWidth="1"/>
    <col min="8185" max="8185" width="12.42578125" style="27" bestFit="1" customWidth="1"/>
    <col min="8186" max="8186" width="7.85546875" style="27" bestFit="1" customWidth="1"/>
    <col min="8187" max="8187" width="5.85546875" style="27" bestFit="1" customWidth="1"/>
    <col min="8188" max="8188" width="6.140625" style="27" bestFit="1" customWidth="1"/>
    <col min="8189" max="8189" width="4.42578125" style="27" bestFit="1" customWidth="1"/>
    <col min="8190" max="8190" width="6.85546875" style="27" bestFit="1" customWidth="1"/>
    <col min="8191" max="8191" width="4.42578125" style="27" bestFit="1" customWidth="1"/>
    <col min="8192" max="8192" width="8.42578125" style="27" bestFit="1" customWidth="1"/>
    <col min="8193" max="8193" width="1.85546875" style="27" bestFit="1" customWidth="1"/>
    <col min="8194" max="8194" width="9.85546875" style="27" bestFit="1" customWidth="1"/>
    <col min="8195" max="8196" width="9.140625" style="27"/>
    <col min="8197" max="8197" width="20.42578125" style="27" bestFit="1" customWidth="1"/>
    <col min="8198" max="8198" width="9.85546875" style="27" bestFit="1" customWidth="1"/>
    <col min="8199" max="8431" width="9.140625" style="27"/>
    <col min="8432" max="8432" width="14.7109375" style="27" bestFit="1" customWidth="1"/>
    <col min="8433" max="8433" width="16" style="27" customWidth="1"/>
    <col min="8434" max="8434" width="12.85546875" style="27" bestFit="1" customWidth="1"/>
    <col min="8435" max="8436" width="10.140625" style="27" bestFit="1" customWidth="1"/>
    <col min="8437" max="8437" width="22.42578125" style="27" bestFit="1" customWidth="1"/>
    <col min="8438" max="8438" width="14" style="27" customWidth="1"/>
    <col min="8439" max="8439" width="4.85546875" style="27" bestFit="1" customWidth="1"/>
    <col min="8440" max="8440" width="9.42578125" style="27" customWidth="1"/>
    <col min="8441" max="8441" width="12.42578125" style="27" bestFit="1" customWidth="1"/>
    <col min="8442" max="8442" width="7.85546875" style="27" bestFit="1" customWidth="1"/>
    <col min="8443" max="8443" width="5.85546875" style="27" bestFit="1" customWidth="1"/>
    <col min="8444" max="8444" width="6.140625" style="27" bestFit="1" customWidth="1"/>
    <col min="8445" max="8445" width="4.42578125" style="27" bestFit="1" customWidth="1"/>
    <col min="8446" max="8446" width="6.85546875" style="27" bestFit="1" customWidth="1"/>
    <col min="8447" max="8447" width="4.42578125" style="27" bestFit="1" customWidth="1"/>
    <col min="8448" max="8448" width="8.42578125" style="27" bestFit="1" customWidth="1"/>
    <col min="8449" max="8449" width="1.85546875" style="27" bestFit="1" customWidth="1"/>
    <col min="8450" max="8450" width="9.85546875" style="27" bestFit="1" customWidth="1"/>
    <col min="8451" max="8452" width="9.140625" style="27"/>
    <col min="8453" max="8453" width="20.42578125" style="27" bestFit="1" customWidth="1"/>
    <col min="8454" max="8454" width="9.85546875" style="27" bestFit="1" customWidth="1"/>
    <col min="8455" max="8687" width="9.140625" style="27"/>
    <col min="8688" max="8688" width="14.7109375" style="27" bestFit="1" customWidth="1"/>
    <col min="8689" max="8689" width="16" style="27" customWidth="1"/>
    <col min="8690" max="8690" width="12.85546875" style="27" bestFit="1" customWidth="1"/>
    <col min="8691" max="8692" width="10.140625" style="27" bestFit="1" customWidth="1"/>
    <col min="8693" max="8693" width="22.42578125" style="27" bestFit="1" customWidth="1"/>
    <col min="8694" max="8694" width="14" style="27" customWidth="1"/>
    <col min="8695" max="8695" width="4.85546875" style="27" bestFit="1" customWidth="1"/>
    <col min="8696" max="8696" width="9.42578125" style="27" customWidth="1"/>
    <col min="8697" max="8697" width="12.42578125" style="27" bestFit="1" customWidth="1"/>
    <col min="8698" max="8698" width="7.85546875" style="27" bestFit="1" customWidth="1"/>
    <col min="8699" max="8699" width="5.85546875" style="27" bestFit="1" customWidth="1"/>
    <col min="8700" max="8700" width="6.140625" style="27" bestFit="1" customWidth="1"/>
    <col min="8701" max="8701" width="4.42578125" style="27" bestFit="1" customWidth="1"/>
    <col min="8702" max="8702" width="6.85546875" style="27" bestFit="1" customWidth="1"/>
    <col min="8703" max="8703" width="4.42578125" style="27" bestFit="1" customWidth="1"/>
    <col min="8704" max="8704" width="8.42578125" style="27" bestFit="1" customWidth="1"/>
    <col min="8705" max="8705" width="1.85546875" style="27" bestFit="1" customWidth="1"/>
    <col min="8706" max="8706" width="9.85546875" style="27" bestFit="1" customWidth="1"/>
    <col min="8707" max="8708" width="9.140625" style="27"/>
    <col min="8709" max="8709" width="20.42578125" style="27" bestFit="1" customWidth="1"/>
    <col min="8710" max="8710" width="9.85546875" style="27" bestFit="1" customWidth="1"/>
    <col min="8711" max="8943" width="9.140625" style="27"/>
    <col min="8944" max="8944" width="14.7109375" style="27" bestFit="1" customWidth="1"/>
    <col min="8945" max="8945" width="16" style="27" customWidth="1"/>
    <col min="8946" max="8946" width="12.85546875" style="27" bestFit="1" customWidth="1"/>
    <col min="8947" max="8948" width="10.140625" style="27" bestFit="1" customWidth="1"/>
    <col min="8949" max="8949" width="22.42578125" style="27" bestFit="1" customWidth="1"/>
    <col min="8950" max="8950" width="14" style="27" customWidth="1"/>
    <col min="8951" max="8951" width="4.85546875" style="27" bestFit="1" customWidth="1"/>
    <col min="8952" max="8952" width="9.42578125" style="27" customWidth="1"/>
    <col min="8953" max="8953" width="12.42578125" style="27" bestFit="1" customWidth="1"/>
    <col min="8954" max="8954" width="7.85546875" style="27" bestFit="1" customWidth="1"/>
    <col min="8955" max="8955" width="5.85546875" style="27" bestFit="1" customWidth="1"/>
    <col min="8956" max="8956" width="6.140625" style="27" bestFit="1" customWidth="1"/>
    <col min="8957" max="8957" width="4.42578125" style="27" bestFit="1" customWidth="1"/>
    <col min="8958" max="8958" width="6.85546875" style="27" bestFit="1" customWidth="1"/>
    <col min="8959" max="8959" width="4.42578125" style="27" bestFit="1" customWidth="1"/>
    <col min="8960" max="8960" width="8.42578125" style="27" bestFit="1" customWidth="1"/>
    <col min="8961" max="8961" width="1.85546875" style="27" bestFit="1" customWidth="1"/>
    <col min="8962" max="8962" width="9.85546875" style="27" bestFit="1" customWidth="1"/>
    <col min="8963" max="8964" width="9.140625" style="27"/>
    <col min="8965" max="8965" width="20.42578125" style="27" bestFit="1" customWidth="1"/>
    <col min="8966" max="8966" width="9.85546875" style="27" bestFit="1" customWidth="1"/>
    <col min="8967" max="9199" width="9.140625" style="27"/>
    <col min="9200" max="9200" width="14.7109375" style="27" bestFit="1" customWidth="1"/>
    <col min="9201" max="9201" width="16" style="27" customWidth="1"/>
    <col min="9202" max="9202" width="12.85546875" style="27" bestFit="1" customWidth="1"/>
    <col min="9203" max="9204" width="10.140625" style="27" bestFit="1" customWidth="1"/>
    <col min="9205" max="9205" width="22.42578125" style="27" bestFit="1" customWidth="1"/>
    <col min="9206" max="9206" width="14" style="27" customWidth="1"/>
    <col min="9207" max="9207" width="4.85546875" style="27" bestFit="1" customWidth="1"/>
    <col min="9208" max="9208" width="9.42578125" style="27" customWidth="1"/>
    <col min="9209" max="9209" width="12.42578125" style="27" bestFit="1" customWidth="1"/>
    <col min="9210" max="9210" width="7.85546875" style="27" bestFit="1" customWidth="1"/>
    <col min="9211" max="9211" width="5.85546875" style="27" bestFit="1" customWidth="1"/>
    <col min="9212" max="9212" width="6.140625" style="27" bestFit="1" customWidth="1"/>
    <col min="9213" max="9213" width="4.42578125" style="27" bestFit="1" customWidth="1"/>
    <col min="9214" max="9214" width="6.85546875" style="27" bestFit="1" customWidth="1"/>
    <col min="9215" max="9215" width="4.42578125" style="27" bestFit="1" customWidth="1"/>
    <col min="9216" max="9216" width="8.42578125" style="27" bestFit="1" customWidth="1"/>
    <col min="9217" max="9217" width="1.85546875" style="27" bestFit="1" customWidth="1"/>
    <col min="9218" max="9218" width="9.85546875" style="27" bestFit="1" customWidth="1"/>
    <col min="9219" max="9220" width="9.140625" style="27"/>
    <col min="9221" max="9221" width="20.42578125" style="27" bestFit="1" customWidth="1"/>
    <col min="9222" max="9222" width="9.85546875" style="27" bestFit="1" customWidth="1"/>
    <col min="9223" max="9455" width="9.140625" style="27"/>
    <col min="9456" max="9456" width="14.7109375" style="27" bestFit="1" customWidth="1"/>
    <col min="9457" max="9457" width="16" style="27" customWidth="1"/>
    <col min="9458" max="9458" width="12.85546875" style="27" bestFit="1" customWidth="1"/>
    <col min="9459" max="9460" width="10.140625" style="27" bestFit="1" customWidth="1"/>
    <col min="9461" max="9461" width="22.42578125" style="27" bestFit="1" customWidth="1"/>
    <col min="9462" max="9462" width="14" style="27" customWidth="1"/>
    <col min="9463" max="9463" width="4.85546875" style="27" bestFit="1" customWidth="1"/>
    <col min="9464" max="9464" width="9.42578125" style="27" customWidth="1"/>
    <col min="9465" max="9465" width="12.42578125" style="27" bestFit="1" customWidth="1"/>
    <col min="9466" max="9466" width="7.85546875" style="27" bestFit="1" customWidth="1"/>
    <col min="9467" max="9467" width="5.85546875" style="27" bestFit="1" customWidth="1"/>
    <col min="9468" max="9468" width="6.140625" style="27" bestFit="1" customWidth="1"/>
    <col min="9469" max="9469" width="4.42578125" style="27" bestFit="1" customWidth="1"/>
    <col min="9470" max="9470" width="6.85546875" style="27" bestFit="1" customWidth="1"/>
    <col min="9471" max="9471" width="4.42578125" style="27" bestFit="1" customWidth="1"/>
    <col min="9472" max="9472" width="8.42578125" style="27" bestFit="1" customWidth="1"/>
    <col min="9473" max="9473" width="1.85546875" style="27" bestFit="1" customWidth="1"/>
    <col min="9474" max="9474" width="9.85546875" style="27" bestFit="1" customWidth="1"/>
    <col min="9475" max="9476" width="9.140625" style="27"/>
    <col min="9477" max="9477" width="20.42578125" style="27" bestFit="1" customWidth="1"/>
    <col min="9478" max="9478" width="9.85546875" style="27" bestFit="1" customWidth="1"/>
    <col min="9479" max="9711" width="9.140625" style="27"/>
    <col min="9712" max="9712" width="14.7109375" style="27" bestFit="1" customWidth="1"/>
    <col min="9713" max="9713" width="16" style="27" customWidth="1"/>
    <col min="9714" max="9714" width="12.85546875" style="27" bestFit="1" customWidth="1"/>
    <col min="9715" max="9716" width="10.140625" style="27" bestFit="1" customWidth="1"/>
    <col min="9717" max="9717" width="22.42578125" style="27" bestFit="1" customWidth="1"/>
    <col min="9718" max="9718" width="14" style="27" customWidth="1"/>
    <col min="9719" max="9719" width="4.85546875" style="27" bestFit="1" customWidth="1"/>
    <col min="9720" max="9720" width="9.42578125" style="27" customWidth="1"/>
    <col min="9721" max="9721" width="12.42578125" style="27" bestFit="1" customWidth="1"/>
    <col min="9722" max="9722" width="7.85546875" style="27" bestFit="1" customWidth="1"/>
    <col min="9723" max="9723" width="5.85546875" style="27" bestFit="1" customWidth="1"/>
    <col min="9724" max="9724" width="6.140625" style="27" bestFit="1" customWidth="1"/>
    <col min="9725" max="9725" width="4.42578125" style="27" bestFit="1" customWidth="1"/>
    <col min="9726" max="9726" width="6.85546875" style="27" bestFit="1" customWidth="1"/>
    <col min="9727" max="9727" width="4.42578125" style="27" bestFit="1" customWidth="1"/>
    <col min="9728" max="9728" width="8.42578125" style="27" bestFit="1" customWidth="1"/>
    <col min="9729" max="9729" width="1.85546875" style="27" bestFit="1" customWidth="1"/>
    <col min="9730" max="9730" width="9.85546875" style="27" bestFit="1" customWidth="1"/>
    <col min="9731" max="9732" width="9.140625" style="27"/>
    <col min="9733" max="9733" width="20.42578125" style="27" bestFit="1" customWidth="1"/>
    <col min="9734" max="9734" width="9.85546875" style="27" bestFit="1" customWidth="1"/>
    <col min="9735" max="9967" width="9.140625" style="27"/>
    <col min="9968" max="9968" width="14.7109375" style="27" bestFit="1" customWidth="1"/>
    <col min="9969" max="9969" width="16" style="27" customWidth="1"/>
    <col min="9970" max="9970" width="12.85546875" style="27" bestFit="1" customWidth="1"/>
    <col min="9971" max="9972" width="10.140625" style="27" bestFit="1" customWidth="1"/>
    <col min="9973" max="9973" width="22.42578125" style="27" bestFit="1" customWidth="1"/>
    <col min="9974" max="9974" width="14" style="27" customWidth="1"/>
    <col min="9975" max="9975" width="4.85546875" style="27" bestFit="1" customWidth="1"/>
    <col min="9976" max="9976" width="9.42578125" style="27" customWidth="1"/>
    <col min="9977" max="9977" width="12.42578125" style="27" bestFit="1" customWidth="1"/>
    <col min="9978" max="9978" width="7.85546875" style="27" bestFit="1" customWidth="1"/>
    <col min="9979" max="9979" width="5.85546875" style="27" bestFit="1" customWidth="1"/>
    <col min="9980" max="9980" width="6.140625" style="27" bestFit="1" customWidth="1"/>
    <col min="9981" max="9981" width="4.42578125" style="27" bestFit="1" customWidth="1"/>
    <col min="9982" max="9982" width="6.85546875" style="27" bestFit="1" customWidth="1"/>
    <col min="9983" max="9983" width="4.42578125" style="27" bestFit="1" customWidth="1"/>
    <col min="9984" max="9984" width="8.42578125" style="27" bestFit="1" customWidth="1"/>
    <col min="9985" max="9985" width="1.85546875" style="27" bestFit="1" customWidth="1"/>
    <col min="9986" max="9986" width="9.85546875" style="27" bestFit="1" customWidth="1"/>
    <col min="9987" max="9988" width="9.140625" style="27"/>
    <col min="9989" max="9989" width="20.42578125" style="27" bestFit="1" customWidth="1"/>
    <col min="9990" max="9990" width="9.85546875" style="27" bestFit="1" customWidth="1"/>
    <col min="9991" max="10223" width="9.140625" style="27"/>
    <col min="10224" max="10224" width="14.7109375" style="27" bestFit="1" customWidth="1"/>
    <col min="10225" max="10225" width="16" style="27" customWidth="1"/>
    <col min="10226" max="10226" width="12.85546875" style="27" bestFit="1" customWidth="1"/>
    <col min="10227" max="10228" width="10.140625" style="27" bestFit="1" customWidth="1"/>
    <col min="10229" max="10229" width="22.42578125" style="27" bestFit="1" customWidth="1"/>
    <col min="10230" max="10230" width="14" style="27" customWidth="1"/>
    <col min="10231" max="10231" width="4.85546875" style="27" bestFit="1" customWidth="1"/>
    <col min="10232" max="10232" width="9.42578125" style="27" customWidth="1"/>
    <col min="10233" max="10233" width="12.42578125" style="27" bestFit="1" customWidth="1"/>
    <col min="10234" max="10234" width="7.85546875" style="27" bestFit="1" customWidth="1"/>
    <col min="10235" max="10235" width="5.85546875" style="27" bestFit="1" customWidth="1"/>
    <col min="10236" max="10236" width="6.140625" style="27" bestFit="1" customWidth="1"/>
    <col min="10237" max="10237" width="4.42578125" style="27" bestFit="1" customWidth="1"/>
    <col min="10238" max="10238" width="6.85546875" style="27" bestFit="1" customWidth="1"/>
    <col min="10239" max="10239" width="4.42578125" style="27" bestFit="1" customWidth="1"/>
    <col min="10240" max="10240" width="8.42578125" style="27" bestFit="1" customWidth="1"/>
    <col min="10241" max="10241" width="1.85546875" style="27" bestFit="1" customWidth="1"/>
    <col min="10242" max="10242" width="9.85546875" style="27" bestFit="1" customWidth="1"/>
    <col min="10243" max="10244" width="9.140625" style="27"/>
    <col min="10245" max="10245" width="20.42578125" style="27" bestFit="1" customWidth="1"/>
    <col min="10246" max="10246" width="9.85546875" style="27" bestFit="1" customWidth="1"/>
    <col min="10247" max="10479" width="9.140625" style="27"/>
    <col min="10480" max="10480" width="14.7109375" style="27" bestFit="1" customWidth="1"/>
    <col min="10481" max="10481" width="16" style="27" customWidth="1"/>
    <col min="10482" max="10482" width="12.85546875" style="27" bestFit="1" customWidth="1"/>
    <col min="10483" max="10484" width="10.140625" style="27" bestFit="1" customWidth="1"/>
    <col min="10485" max="10485" width="22.42578125" style="27" bestFit="1" customWidth="1"/>
    <col min="10486" max="10486" width="14" style="27" customWidth="1"/>
    <col min="10487" max="10487" width="4.85546875" style="27" bestFit="1" customWidth="1"/>
    <col min="10488" max="10488" width="9.42578125" style="27" customWidth="1"/>
    <col min="10489" max="10489" width="12.42578125" style="27" bestFit="1" customWidth="1"/>
    <col min="10490" max="10490" width="7.85546875" style="27" bestFit="1" customWidth="1"/>
    <col min="10491" max="10491" width="5.85546875" style="27" bestFit="1" customWidth="1"/>
    <col min="10492" max="10492" width="6.140625" style="27" bestFit="1" customWidth="1"/>
    <col min="10493" max="10493" width="4.42578125" style="27" bestFit="1" customWidth="1"/>
    <col min="10494" max="10494" width="6.85546875" style="27" bestFit="1" customWidth="1"/>
    <col min="10495" max="10495" width="4.42578125" style="27" bestFit="1" customWidth="1"/>
    <col min="10496" max="10496" width="8.42578125" style="27" bestFit="1" customWidth="1"/>
    <col min="10497" max="10497" width="1.85546875" style="27" bestFit="1" customWidth="1"/>
    <col min="10498" max="10498" width="9.85546875" style="27" bestFit="1" customWidth="1"/>
    <col min="10499" max="10500" width="9.140625" style="27"/>
    <col min="10501" max="10501" width="20.42578125" style="27" bestFit="1" customWidth="1"/>
    <col min="10502" max="10502" width="9.85546875" style="27" bestFit="1" customWidth="1"/>
    <col min="10503" max="10735" width="9.140625" style="27"/>
    <col min="10736" max="10736" width="14.7109375" style="27" bestFit="1" customWidth="1"/>
    <col min="10737" max="10737" width="16" style="27" customWidth="1"/>
    <col min="10738" max="10738" width="12.85546875" style="27" bestFit="1" customWidth="1"/>
    <col min="10739" max="10740" width="10.140625" style="27" bestFit="1" customWidth="1"/>
    <col min="10741" max="10741" width="22.42578125" style="27" bestFit="1" customWidth="1"/>
    <col min="10742" max="10742" width="14" style="27" customWidth="1"/>
    <col min="10743" max="10743" width="4.85546875" style="27" bestFit="1" customWidth="1"/>
    <col min="10744" max="10744" width="9.42578125" style="27" customWidth="1"/>
    <col min="10745" max="10745" width="12.42578125" style="27" bestFit="1" customWidth="1"/>
    <col min="10746" max="10746" width="7.85546875" style="27" bestFit="1" customWidth="1"/>
    <col min="10747" max="10747" width="5.85546875" style="27" bestFit="1" customWidth="1"/>
    <col min="10748" max="10748" width="6.140625" style="27" bestFit="1" customWidth="1"/>
    <col min="10749" max="10749" width="4.42578125" style="27" bestFit="1" customWidth="1"/>
    <col min="10750" max="10750" width="6.85546875" style="27" bestFit="1" customWidth="1"/>
    <col min="10751" max="10751" width="4.42578125" style="27" bestFit="1" customWidth="1"/>
    <col min="10752" max="10752" width="8.42578125" style="27" bestFit="1" customWidth="1"/>
    <col min="10753" max="10753" width="1.85546875" style="27" bestFit="1" customWidth="1"/>
    <col min="10754" max="10754" width="9.85546875" style="27" bestFit="1" customWidth="1"/>
    <col min="10755" max="10756" width="9.140625" style="27"/>
    <col min="10757" max="10757" width="20.42578125" style="27" bestFit="1" customWidth="1"/>
    <col min="10758" max="10758" width="9.85546875" style="27" bestFit="1" customWidth="1"/>
    <col min="10759" max="10991" width="9.140625" style="27"/>
    <col min="10992" max="10992" width="14.7109375" style="27" bestFit="1" customWidth="1"/>
    <col min="10993" max="10993" width="16" style="27" customWidth="1"/>
    <col min="10994" max="10994" width="12.85546875" style="27" bestFit="1" customWidth="1"/>
    <col min="10995" max="10996" width="10.140625" style="27" bestFit="1" customWidth="1"/>
    <col min="10997" max="10997" width="22.42578125" style="27" bestFit="1" customWidth="1"/>
    <col min="10998" max="10998" width="14" style="27" customWidth="1"/>
    <col min="10999" max="10999" width="4.85546875" style="27" bestFit="1" customWidth="1"/>
    <col min="11000" max="11000" width="9.42578125" style="27" customWidth="1"/>
    <col min="11001" max="11001" width="12.42578125" style="27" bestFit="1" customWidth="1"/>
    <col min="11002" max="11002" width="7.85546875" style="27" bestFit="1" customWidth="1"/>
    <col min="11003" max="11003" width="5.85546875" style="27" bestFit="1" customWidth="1"/>
    <col min="11004" max="11004" width="6.140625" style="27" bestFit="1" customWidth="1"/>
    <col min="11005" max="11005" width="4.42578125" style="27" bestFit="1" customWidth="1"/>
    <col min="11006" max="11006" width="6.85546875" style="27" bestFit="1" customWidth="1"/>
    <col min="11007" max="11007" width="4.42578125" style="27" bestFit="1" customWidth="1"/>
    <col min="11008" max="11008" width="8.42578125" style="27" bestFit="1" customWidth="1"/>
    <col min="11009" max="11009" width="1.85546875" style="27" bestFit="1" customWidth="1"/>
    <col min="11010" max="11010" width="9.85546875" style="27" bestFit="1" customWidth="1"/>
    <col min="11011" max="11012" width="9.140625" style="27"/>
    <col min="11013" max="11013" width="20.42578125" style="27" bestFit="1" customWidth="1"/>
    <col min="11014" max="11014" width="9.85546875" style="27" bestFit="1" customWidth="1"/>
    <col min="11015" max="11247" width="9.140625" style="27"/>
    <col min="11248" max="11248" width="14.7109375" style="27" bestFit="1" customWidth="1"/>
    <col min="11249" max="11249" width="16" style="27" customWidth="1"/>
    <col min="11250" max="11250" width="12.85546875" style="27" bestFit="1" customWidth="1"/>
    <col min="11251" max="11252" width="10.140625" style="27" bestFit="1" customWidth="1"/>
    <col min="11253" max="11253" width="22.42578125" style="27" bestFit="1" customWidth="1"/>
    <col min="11254" max="11254" width="14" style="27" customWidth="1"/>
    <col min="11255" max="11255" width="4.85546875" style="27" bestFit="1" customWidth="1"/>
    <col min="11256" max="11256" width="9.42578125" style="27" customWidth="1"/>
    <col min="11257" max="11257" width="12.42578125" style="27" bestFit="1" customWidth="1"/>
    <col min="11258" max="11258" width="7.85546875" style="27" bestFit="1" customWidth="1"/>
    <col min="11259" max="11259" width="5.85546875" style="27" bestFit="1" customWidth="1"/>
    <col min="11260" max="11260" width="6.140625" style="27" bestFit="1" customWidth="1"/>
    <col min="11261" max="11261" width="4.42578125" style="27" bestFit="1" customWidth="1"/>
    <col min="11262" max="11262" width="6.85546875" style="27" bestFit="1" customWidth="1"/>
    <col min="11263" max="11263" width="4.42578125" style="27" bestFit="1" customWidth="1"/>
    <col min="11264" max="11264" width="8.42578125" style="27" bestFit="1" customWidth="1"/>
    <col min="11265" max="11265" width="1.85546875" style="27" bestFit="1" customWidth="1"/>
    <col min="11266" max="11266" width="9.85546875" style="27" bestFit="1" customWidth="1"/>
    <col min="11267" max="11268" width="9.140625" style="27"/>
    <col min="11269" max="11269" width="20.42578125" style="27" bestFit="1" customWidth="1"/>
    <col min="11270" max="11270" width="9.85546875" style="27" bestFit="1" customWidth="1"/>
    <col min="11271" max="11503" width="9.140625" style="27"/>
    <col min="11504" max="11504" width="14.7109375" style="27" bestFit="1" customWidth="1"/>
    <col min="11505" max="11505" width="16" style="27" customWidth="1"/>
    <col min="11506" max="11506" width="12.85546875" style="27" bestFit="1" customWidth="1"/>
    <col min="11507" max="11508" width="10.140625" style="27" bestFit="1" customWidth="1"/>
    <col min="11509" max="11509" width="22.42578125" style="27" bestFit="1" customWidth="1"/>
    <col min="11510" max="11510" width="14" style="27" customWidth="1"/>
    <col min="11511" max="11511" width="4.85546875" style="27" bestFit="1" customWidth="1"/>
    <col min="11512" max="11512" width="9.42578125" style="27" customWidth="1"/>
    <col min="11513" max="11513" width="12.42578125" style="27" bestFit="1" customWidth="1"/>
    <col min="11514" max="11514" width="7.85546875" style="27" bestFit="1" customWidth="1"/>
    <col min="11515" max="11515" width="5.85546875" style="27" bestFit="1" customWidth="1"/>
    <col min="11516" max="11516" width="6.140625" style="27" bestFit="1" customWidth="1"/>
    <col min="11517" max="11517" width="4.42578125" style="27" bestFit="1" customWidth="1"/>
    <col min="11518" max="11518" width="6.85546875" style="27" bestFit="1" customWidth="1"/>
    <col min="11519" max="11519" width="4.42578125" style="27" bestFit="1" customWidth="1"/>
    <col min="11520" max="11520" width="8.42578125" style="27" bestFit="1" customWidth="1"/>
    <col min="11521" max="11521" width="1.85546875" style="27" bestFit="1" customWidth="1"/>
    <col min="11522" max="11522" width="9.85546875" style="27" bestFit="1" customWidth="1"/>
    <col min="11523" max="11524" width="9.140625" style="27"/>
    <col min="11525" max="11525" width="20.42578125" style="27" bestFit="1" customWidth="1"/>
    <col min="11526" max="11526" width="9.85546875" style="27" bestFit="1" customWidth="1"/>
    <col min="11527" max="11759" width="9.140625" style="27"/>
    <col min="11760" max="11760" width="14.7109375" style="27" bestFit="1" customWidth="1"/>
    <col min="11761" max="11761" width="16" style="27" customWidth="1"/>
    <col min="11762" max="11762" width="12.85546875" style="27" bestFit="1" customWidth="1"/>
    <col min="11763" max="11764" width="10.140625" style="27" bestFit="1" customWidth="1"/>
    <col min="11765" max="11765" width="22.42578125" style="27" bestFit="1" customWidth="1"/>
    <col min="11766" max="11766" width="14" style="27" customWidth="1"/>
    <col min="11767" max="11767" width="4.85546875" style="27" bestFit="1" customWidth="1"/>
    <col min="11768" max="11768" width="9.42578125" style="27" customWidth="1"/>
    <col min="11769" max="11769" width="12.42578125" style="27" bestFit="1" customWidth="1"/>
    <col min="11770" max="11770" width="7.85546875" style="27" bestFit="1" customWidth="1"/>
    <col min="11771" max="11771" width="5.85546875" style="27" bestFit="1" customWidth="1"/>
    <col min="11772" max="11772" width="6.140625" style="27" bestFit="1" customWidth="1"/>
    <col min="11773" max="11773" width="4.42578125" style="27" bestFit="1" customWidth="1"/>
    <col min="11774" max="11774" width="6.85546875" style="27" bestFit="1" customWidth="1"/>
    <col min="11775" max="11775" width="4.42578125" style="27" bestFit="1" customWidth="1"/>
    <col min="11776" max="11776" width="8.42578125" style="27" bestFit="1" customWidth="1"/>
    <col min="11777" max="11777" width="1.85546875" style="27" bestFit="1" customWidth="1"/>
    <col min="11778" max="11778" width="9.85546875" style="27" bestFit="1" customWidth="1"/>
    <col min="11779" max="11780" width="9.140625" style="27"/>
    <col min="11781" max="11781" width="20.42578125" style="27" bestFit="1" customWidth="1"/>
    <col min="11782" max="11782" width="9.85546875" style="27" bestFit="1" customWidth="1"/>
    <col min="11783" max="12015" width="9.140625" style="27"/>
    <col min="12016" max="12016" width="14.7109375" style="27" bestFit="1" customWidth="1"/>
    <col min="12017" max="12017" width="16" style="27" customWidth="1"/>
    <col min="12018" max="12018" width="12.85546875" style="27" bestFit="1" customWidth="1"/>
    <col min="12019" max="12020" width="10.140625" style="27" bestFit="1" customWidth="1"/>
    <col min="12021" max="12021" width="22.42578125" style="27" bestFit="1" customWidth="1"/>
    <col min="12022" max="12022" width="14" style="27" customWidth="1"/>
    <col min="12023" max="12023" width="4.85546875" style="27" bestFit="1" customWidth="1"/>
    <col min="12024" max="12024" width="9.42578125" style="27" customWidth="1"/>
    <col min="12025" max="12025" width="12.42578125" style="27" bestFit="1" customWidth="1"/>
    <col min="12026" max="12026" width="7.85546875" style="27" bestFit="1" customWidth="1"/>
    <col min="12027" max="12027" width="5.85546875" style="27" bestFit="1" customWidth="1"/>
    <col min="12028" max="12028" width="6.140625" style="27" bestFit="1" customWidth="1"/>
    <col min="12029" max="12029" width="4.42578125" style="27" bestFit="1" customWidth="1"/>
    <col min="12030" max="12030" width="6.85546875" style="27" bestFit="1" customWidth="1"/>
    <col min="12031" max="12031" width="4.42578125" style="27" bestFit="1" customWidth="1"/>
    <col min="12032" max="12032" width="8.42578125" style="27" bestFit="1" customWidth="1"/>
    <col min="12033" max="12033" width="1.85546875" style="27" bestFit="1" customWidth="1"/>
    <col min="12034" max="12034" width="9.85546875" style="27" bestFit="1" customWidth="1"/>
    <col min="12035" max="12036" width="9.140625" style="27"/>
    <col min="12037" max="12037" width="20.42578125" style="27" bestFit="1" customWidth="1"/>
    <col min="12038" max="12038" width="9.85546875" style="27" bestFit="1" customWidth="1"/>
    <col min="12039" max="12271" width="9.140625" style="27"/>
    <col min="12272" max="12272" width="14.7109375" style="27" bestFit="1" customWidth="1"/>
    <col min="12273" max="12273" width="16" style="27" customWidth="1"/>
    <col min="12274" max="12274" width="12.85546875" style="27" bestFit="1" customWidth="1"/>
    <col min="12275" max="12276" width="10.140625" style="27" bestFit="1" customWidth="1"/>
    <col min="12277" max="12277" width="22.42578125" style="27" bestFit="1" customWidth="1"/>
    <col min="12278" max="12278" width="14" style="27" customWidth="1"/>
    <col min="12279" max="12279" width="4.85546875" style="27" bestFit="1" customWidth="1"/>
    <col min="12280" max="12280" width="9.42578125" style="27" customWidth="1"/>
    <col min="12281" max="12281" width="12.42578125" style="27" bestFit="1" customWidth="1"/>
    <col min="12282" max="12282" width="7.85546875" style="27" bestFit="1" customWidth="1"/>
    <col min="12283" max="12283" width="5.85546875" style="27" bestFit="1" customWidth="1"/>
    <col min="12284" max="12284" width="6.140625" style="27" bestFit="1" customWidth="1"/>
    <col min="12285" max="12285" width="4.42578125" style="27" bestFit="1" customWidth="1"/>
    <col min="12286" max="12286" width="6.85546875" style="27" bestFit="1" customWidth="1"/>
    <col min="12287" max="12287" width="4.42578125" style="27" bestFit="1" customWidth="1"/>
    <col min="12288" max="12288" width="8.42578125" style="27" bestFit="1" customWidth="1"/>
    <col min="12289" max="12289" width="1.85546875" style="27" bestFit="1" customWidth="1"/>
    <col min="12290" max="12290" width="9.85546875" style="27" bestFit="1" customWidth="1"/>
    <col min="12291" max="12292" width="9.140625" style="27"/>
    <col min="12293" max="12293" width="20.42578125" style="27" bestFit="1" customWidth="1"/>
    <col min="12294" max="12294" width="9.85546875" style="27" bestFit="1" customWidth="1"/>
    <col min="12295" max="12527" width="9.140625" style="27"/>
    <col min="12528" max="12528" width="14.7109375" style="27" bestFit="1" customWidth="1"/>
    <col min="12529" max="12529" width="16" style="27" customWidth="1"/>
    <col min="12530" max="12530" width="12.85546875" style="27" bestFit="1" customWidth="1"/>
    <col min="12531" max="12532" width="10.140625" style="27" bestFit="1" customWidth="1"/>
    <col min="12533" max="12533" width="22.42578125" style="27" bestFit="1" customWidth="1"/>
    <col min="12534" max="12534" width="14" style="27" customWidth="1"/>
    <col min="12535" max="12535" width="4.85546875" style="27" bestFit="1" customWidth="1"/>
    <col min="12536" max="12536" width="9.42578125" style="27" customWidth="1"/>
    <col min="12537" max="12537" width="12.42578125" style="27" bestFit="1" customWidth="1"/>
    <col min="12538" max="12538" width="7.85546875" style="27" bestFit="1" customWidth="1"/>
    <col min="12539" max="12539" width="5.85546875" style="27" bestFit="1" customWidth="1"/>
    <col min="12540" max="12540" width="6.140625" style="27" bestFit="1" customWidth="1"/>
    <col min="12541" max="12541" width="4.42578125" style="27" bestFit="1" customWidth="1"/>
    <col min="12542" max="12542" width="6.85546875" style="27" bestFit="1" customWidth="1"/>
    <col min="12543" max="12543" width="4.42578125" style="27" bestFit="1" customWidth="1"/>
    <col min="12544" max="12544" width="8.42578125" style="27" bestFit="1" customWidth="1"/>
    <col min="12545" max="12545" width="1.85546875" style="27" bestFit="1" customWidth="1"/>
    <col min="12546" max="12546" width="9.85546875" style="27" bestFit="1" customWidth="1"/>
    <col min="12547" max="12548" width="9.140625" style="27"/>
    <col min="12549" max="12549" width="20.42578125" style="27" bestFit="1" customWidth="1"/>
    <col min="12550" max="12550" width="9.85546875" style="27" bestFit="1" customWidth="1"/>
    <col min="12551" max="12783" width="9.140625" style="27"/>
    <col min="12784" max="12784" width="14.7109375" style="27" bestFit="1" customWidth="1"/>
    <col min="12785" max="12785" width="16" style="27" customWidth="1"/>
    <col min="12786" max="12786" width="12.85546875" style="27" bestFit="1" customWidth="1"/>
    <col min="12787" max="12788" width="10.140625" style="27" bestFit="1" customWidth="1"/>
    <col min="12789" max="12789" width="22.42578125" style="27" bestFit="1" customWidth="1"/>
    <col min="12790" max="12790" width="14" style="27" customWidth="1"/>
    <col min="12791" max="12791" width="4.85546875" style="27" bestFit="1" customWidth="1"/>
    <col min="12792" max="12792" width="9.42578125" style="27" customWidth="1"/>
    <col min="12793" max="12793" width="12.42578125" style="27" bestFit="1" customWidth="1"/>
    <col min="12794" max="12794" width="7.85546875" style="27" bestFit="1" customWidth="1"/>
    <col min="12795" max="12795" width="5.85546875" style="27" bestFit="1" customWidth="1"/>
    <col min="12796" max="12796" width="6.140625" style="27" bestFit="1" customWidth="1"/>
    <col min="12797" max="12797" width="4.42578125" style="27" bestFit="1" customWidth="1"/>
    <col min="12798" max="12798" width="6.85546875" style="27" bestFit="1" customWidth="1"/>
    <col min="12799" max="12799" width="4.42578125" style="27" bestFit="1" customWidth="1"/>
    <col min="12800" max="12800" width="8.42578125" style="27" bestFit="1" customWidth="1"/>
    <col min="12801" max="12801" width="1.85546875" style="27" bestFit="1" customWidth="1"/>
    <col min="12802" max="12802" width="9.85546875" style="27" bestFit="1" customWidth="1"/>
    <col min="12803" max="12804" width="9.140625" style="27"/>
    <col min="12805" max="12805" width="20.42578125" style="27" bestFit="1" customWidth="1"/>
    <col min="12806" max="12806" width="9.85546875" style="27" bestFit="1" customWidth="1"/>
    <col min="12807" max="13039" width="9.140625" style="27"/>
    <col min="13040" max="13040" width="14.7109375" style="27" bestFit="1" customWidth="1"/>
    <col min="13041" max="13041" width="16" style="27" customWidth="1"/>
    <col min="13042" max="13042" width="12.85546875" style="27" bestFit="1" customWidth="1"/>
    <col min="13043" max="13044" width="10.140625" style="27" bestFit="1" customWidth="1"/>
    <col min="13045" max="13045" width="22.42578125" style="27" bestFit="1" customWidth="1"/>
    <col min="13046" max="13046" width="14" style="27" customWidth="1"/>
    <col min="13047" max="13047" width="4.85546875" style="27" bestFit="1" customWidth="1"/>
    <col min="13048" max="13048" width="9.42578125" style="27" customWidth="1"/>
    <col min="13049" max="13049" width="12.42578125" style="27" bestFit="1" customWidth="1"/>
    <col min="13050" max="13050" width="7.85546875" style="27" bestFit="1" customWidth="1"/>
    <col min="13051" max="13051" width="5.85546875" style="27" bestFit="1" customWidth="1"/>
    <col min="13052" max="13052" width="6.140625" style="27" bestFit="1" customWidth="1"/>
    <col min="13053" max="13053" width="4.42578125" style="27" bestFit="1" customWidth="1"/>
    <col min="13054" max="13054" width="6.85546875" style="27" bestFit="1" customWidth="1"/>
    <col min="13055" max="13055" width="4.42578125" style="27" bestFit="1" customWidth="1"/>
    <col min="13056" max="13056" width="8.42578125" style="27" bestFit="1" customWidth="1"/>
    <col min="13057" max="13057" width="1.85546875" style="27" bestFit="1" customWidth="1"/>
    <col min="13058" max="13058" width="9.85546875" style="27" bestFit="1" customWidth="1"/>
    <col min="13059" max="13060" width="9.140625" style="27"/>
    <col min="13061" max="13061" width="20.42578125" style="27" bestFit="1" customWidth="1"/>
    <col min="13062" max="13062" width="9.85546875" style="27" bestFit="1" customWidth="1"/>
    <col min="13063" max="13295" width="9.140625" style="27"/>
    <col min="13296" max="13296" width="14.7109375" style="27" bestFit="1" customWidth="1"/>
    <col min="13297" max="13297" width="16" style="27" customWidth="1"/>
    <col min="13298" max="13298" width="12.85546875" style="27" bestFit="1" customWidth="1"/>
    <col min="13299" max="13300" width="10.140625" style="27" bestFit="1" customWidth="1"/>
    <col min="13301" max="13301" width="22.42578125" style="27" bestFit="1" customWidth="1"/>
    <col min="13302" max="13302" width="14" style="27" customWidth="1"/>
    <col min="13303" max="13303" width="4.85546875" style="27" bestFit="1" customWidth="1"/>
    <col min="13304" max="13304" width="9.42578125" style="27" customWidth="1"/>
    <col min="13305" max="13305" width="12.42578125" style="27" bestFit="1" customWidth="1"/>
    <col min="13306" max="13306" width="7.85546875" style="27" bestFit="1" customWidth="1"/>
    <col min="13307" max="13307" width="5.85546875" style="27" bestFit="1" customWidth="1"/>
    <col min="13308" max="13308" width="6.140625" style="27" bestFit="1" customWidth="1"/>
    <col min="13309" max="13309" width="4.42578125" style="27" bestFit="1" customWidth="1"/>
    <col min="13310" max="13310" width="6.85546875" style="27" bestFit="1" customWidth="1"/>
    <col min="13311" max="13311" width="4.42578125" style="27" bestFit="1" customWidth="1"/>
    <col min="13312" max="13312" width="8.42578125" style="27" bestFit="1" customWidth="1"/>
    <col min="13313" max="13313" width="1.85546875" style="27" bestFit="1" customWidth="1"/>
    <col min="13314" max="13314" width="9.85546875" style="27" bestFit="1" customWidth="1"/>
    <col min="13315" max="13316" width="9.140625" style="27"/>
    <col min="13317" max="13317" width="20.42578125" style="27" bestFit="1" customWidth="1"/>
    <col min="13318" max="13318" width="9.85546875" style="27" bestFit="1" customWidth="1"/>
    <col min="13319" max="13551" width="9.140625" style="27"/>
    <col min="13552" max="13552" width="14.7109375" style="27" bestFit="1" customWidth="1"/>
    <col min="13553" max="13553" width="16" style="27" customWidth="1"/>
    <col min="13554" max="13554" width="12.85546875" style="27" bestFit="1" customWidth="1"/>
    <col min="13555" max="13556" width="10.140625" style="27" bestFit="1" customWidth="1"/>
    <col min="13557" max="13557" width="22.42578125" style="27" bestFit="1" customWidth="1"/>
    <col min="13558" max="13558" width="14" style="27" customWidth="1"/>
    <col min="13559" max="13559" width="4.85546875" style="27" bestFit="1" customWidth="1"/>
    <col min="13560" max="13560" width="9.42578125" style="27" customWidth="1"/>
    <col min="13561" max="13561" width="12.42578125" style="27" bestFit="1" customWidth="1"/>
    <col min="13562" max="13562" width="7.85546875" style="27" bestFit="1" customWidth="1"/>
    <col min="13563" max="13563" width="5.85546875" style="27" bestFit="1" customWidth="1"/>
    <col min="13564" max="13564" width="6.140625" style="27" bestFit="1" customWidth="1"/>
    <col min="13565" max="13565" width="4.42578125" style="27" bestFit="1" customWidth="1"/>
    <col min="13566" max="13566" width="6.85546875" style="27" bestFit="1" customWidth="1"/>
    <col min="13567" max="13567" width="4.42578125" style="27" bestFit="1" customWidth="1"/>
    <col min="13568" max="13568" width="8.42578125" style="27" bestFit="1" customWidth="1"/>
    <col min="13569" max="13569" width="1.85546875" style="27" bestFit="1" customWidth="1"/>
    <col min="13570" max="13570" width="9.85546875" style="27" bestFit="1" customWidth="1"/>
    <col min="13571" max="13572" width="9.140625" style="27"/>
    <col min="13573" max="13573" width="20.42578125" style="27" bestFit="1" customWidth="1"/>
    <col min="13574" max="13574" width="9.85546875" style="27" bestFit="1" customWidth="1"/>
    <col min="13575" max="13807" width="9.140625" style="27"/>
    <col min="13808" max="13808" width="14.7109375" style="27" bestFit="1" customWidth="1"/>
    <col min="13809" max="13809" width="16" style="27" customWidth="1"/>
    <col min="13810" max="13810" width="12.85546875" style="27" bestFit="1" customWidth="1"/>
    <col min="13811" max="13812" width="10.140625" style="27" bestFit="1" customWidth="1"/>
    <col min="13813" max="13813" width="22.42578125" style="27" bestFit="1" customWidth="1"/>
    <col min="13814" max="13814" width="14" style="27" customWidth="1"/>
    <col min="13815" max="13815" width="4.85546875" style="27" bestFit="1" customWidth="1"/>
    <col min="13816" max="13816" width="9.42578125" style="27" customWidth="1"/>
    <col min="13817" max="13817" width="12.42578125" style="27" bestFit="1" customWidth="1"/>
    <col min="13818" max="13818" width="7.85546875" style="27" bestFit="1" customWidth="1"/>
    <col min="13819" max="13819" width="5.85546875" style="27" bestFit="1" customWidth="1"/>
    <col min="13820" max="13820" width="6.140625" style="27" bestFit="1" customWidth="1"/>
    <col min="13821" max="13821" width="4.42578125" style="27" bestFit="1" customWidth="1"/>
    <col min="13822" max="13822" width="6.85546875" style="27" bestFit="1" customWidth="1"/>
    <col min="13823" max="13823" width="4.42578125" style="27" bestFit="1" customWidth="1"/>
    <col min="13824" max="13824" width="8.42578125" style="27" bestFit="1" customWidth="1"/>
    <col min="13825" max="13825" width="1.85546875" style="27" bestFit="1" customWidth="1"/>
    <col min="13826" max="13826" width="9.85546875" style="27" bestFit="1" customWidth="1"/>
    <col min="13827" max="13828" width="9.140625" style="27"/>
    <col min="13829" max="13829" width="20.42578125" style="27" bestFit="1" customWidth="1"/>
    <col min="13830" max="13830" width="9.85546875" style="27" bestFit="1" customWidth="1"/>
    <col min="13831" max="14063" width="9.140625" style="27"/>
    <col min="14064" max="14064" width="14.7109375" style="27" bestFit="1" customWidth="1"/>
    <col min="14065" max="14065" width="16" style="27" customWidth="1"/>
    <col min="14066" max="14066" width="12.85546875" style="27" bestFit="1" customWidth="1"/>
    <col min="14067" max="14068" width="10.140625" style="27" bestFit="1" customWidth="1"/>
    <col min="14069" max="14069" width="22.42578125" style="27" bestFit="1" customWidth="1"/>
    <col min="14070" max="14070" width="14" style="27" customWidth="1"/>
    <col min="14071" max="14071" width="4.85546875" style="27" bestFit="1" customWidth="1"/>
    <col min="14072" max="14072" width="9.42578125" style="27" customWidth="1"/>
    <col min="14073" max="14073" width="12.42578125" style="27" bestFit="1" customWidth="1"/>
    <col min="14074" max="14074" width="7.85546875" style="27" bestFit="1" customWidth="1"/>
    <col min="14075" max="14075" width="5.85546875" style="27" bestFit="1" customWidth="1"/>
    <col min="14076" max="14076" width="6.140625" style="27" bestFit="1" customWidth="1"/>
    <col min="14077" max="14077" width="4.42578125" style="27" bestFit="1" customWidth="1"/>
    <col min="14078" max="14078" width="6.85546875" style="27" bestFit="1" customWidth="1"/>
    <col min="14079" max="14079" width="4.42578125" style="27" bestFit="1" customWidth="1"/>
    <col min="14080" max="14080" width="8.42578125" style="27" bestFit="1" customWidth="1"/>
    <col min="14081" max="14081" width="1.85546875" style="27" bestFit="1" customWidth="1"/>
    <col min="14082" max="14082" width="9.85546875" style="27" bestFit="1" customWidth="1"/>
    <col min="14083" max="14084" width="9.140625" style="27"/>
    <col min="14085" max="14085" width="20.42578125" style="27" bestFit="1" customWidth="1"/>
    <col min="14086" max="14086" width="9.85546875" style="27" bestFit="1" customWidth="1"/>
    <col min="14087" max="14319" width="9.140625" style="27"/>
    <col min="14320" max="14320" width="14.7109375" style="27" bestFit="1" customWidth="1"/>
    <col min="14321" max="14321" width="16" style="27" customWidth="1"/>
    <col min="14322" max="14322" width="12.85546875" style="27" bestFit="1" customWidth="1"/>
    <col min="14323" max="14324" width="10.140625" style="27" bestFit="1" customWidth="1"/>
    <col min="14325" max="14325" width="22.42578125" style="27" bestFit="1" customWidth="1"/>
    <col min="14326" max="14326" width="14" style="27" customWidth="1"/>
    <col min="14327" max="14327" width="4.85546875" style="27" bestFit="1" customWidth="1"/>
    <col min="14328" max="14328" width="9.42578125" style="27" customWidth="1"/>
    <col min="14329" max="14329" width="12.42578125" style="27" bestFit="1" customWidth="1"/>
    <col min="14330" max="14330" width="7.85546875" style="27" bestFit="1" customWidth="1"/>
    <col min="14331" max="14331" width="5.85546875" style="27" bestFit="1" customWidth="1"/>
    <col min="14332" max="14332" width="6.140625" style="27" bestFit="1" customWidth="1"/>
    <col min="14333" max="14333" width="4.42578125" style="27" bestFit="1" customWidth="1"/>
    <col min="14334" max="14334" width="6.85546875" style="27" bestFit="1" customWidth="1"/>
    <col min="14335" max="14335" width="4.42578125" style="27" bestFit="1" customWidth="1"/>
    <col min="14336" max="14336" width="8.42578125" style="27" bestFit="1" customWidth="1"/>
    <col min="14337" max="14337" width="1.85546875" style="27" bestFit="1" customWidth="1"/>
    <col min="14338" max="14338" width="9.85546875" style="27" bestFit="1" customWidth="1"/>
    <col min="14339" max="14340" width="9.140625" style="27"/>
    <col min="14341" max="14341" width="20.42578125" style="27" bestFit="1" customWidth="1"/>
    <col min="14342" max="14342" width="9.85546875" style="27" bestFit="1" customWidth="1"/>
    <col min="14343" max="14575" width="9.140625" style="27"/>
    <col min="14576" max="14576" width="14.7109375" style="27" bestFit="1" customWidth="1"/>
    <col min="14577" max="14577" width="16" style="27" customWidth="1"/>
    <col min="14578" max="14578" width="12.85546875" style="27" bestFit="1" customWidth="1"/>
    <col min="14579" max="14580" width="10.140625" style="27" bestFit="1" customWidth="1"/>
    <col min="14581" max="14581" width="22.42578125" style="27" bestFit="1" customWidth="1"/>
    <col min="14582" max="14582" width="14" style="27" customWidth="1"/>
    <col min="14583" max="14583" width="4.85546875" style="27" bestFit="1" customWidth="1"/>
    <col min="14584" max="14584" width="9.42578125" style="27" customWidth="1"/>
    <col min="14585" max="14585" width="12.42578125" style="27" bestFit="1" customWidth="1"/>
    <col min="14586" max="14586" width="7.85546875" style="27" bestFit="1" customWidth="1"/>
    <col min="14587" max="14587" width="5.85546875" style="27" bestFit="1" customWidth="1"/>
    <col min="14588" max="14588" width="6.140625" style="27" bestFit="1" customWidth="1"/>
    <col min="14589" max="14589" width="4.42578125" style="27" bestFit="1" customWidth="1"/>
    <col min="14590" max="14590" width="6.85546875" style="27" bestFit="1" customWidth="1"/>
    <col min="14591" max="14591" width="4.42578125" style="27" bestFit="1" customWidth="1"/>
    <col min="14592" max="14592" width="8.42578125" style="27" bestFit="1" customWidth="1"/>
    <col min="14593" max="14593" width="1.85546875" style="27" bestFit="1" customWidth="1"/>
    <col min="14594" max="14594" width="9.85546875" style="27" bestFit="1" customWidth="1"/>
    <col min="14595" max="14596" width="9.140625" style="27"/>
    <col min="14597" max="14597" width="20.42578125" style="27" bestFit="1" customWidth="1"/>
    <col min="14598" max="14598" width="9.85546875" style="27" bestFit="1" customWidth="1"/>
    <col min="14599" max="14831" width="9.140625" style="27"/>
    <col min="14832" max="14832" width="14.7109375" style="27" bestFit="1" customWidth="1"/>
    <col min="14833" max="14833" width="16" style="27" customWidth="1"/>
    <col min="14834" max="14834" width="12.85546875" style="27" bestFit="1" customWidth="1"/>
    <col min="14835" max="14836" width="10.140625" style="27" bestFit="1" customWidth="1"/>
    <col min="14837" max="14837" width="22.42578125" style="27" bestFit="1" customWidth="1"/>
    <col min="14838" max="14838" width="14" style="27" customWidth="1"/>
    <col min="14839" max="14839" width="4.85546875" style="27" bestFit="1" customWidth="1"/>
    <col min="14840" max="14840" width="9.42578125" style="27" customWidth="1"/>
    <col min="14841" max="14841" width="12.42578125" style="27" bestFit="1" customWidth="1"/>
    <col min="14842" max="14842" width="7.85546875" style="27" bestFit="1" customWidth="1"/>
    <col min="14843" max="14843" width="5.85546875" style="27" bestFit="1" customWidth="1"/>
    <col min="14844" max="14844" width="6.140625" style="27" bestFit="1" customWidth="1"/>
    <col min="14845" max="14845" width="4.42578125" style="27" bestFit="1" customWidth="1"/>
    <col min="14846" max="14846" width="6.85546875" style="27" bestFit="1" customWidth="1"/>
    <col min="14847" max="14847" width="4.42578125" style="27" bestFit="1" customWidth="1"/>
    <col min="14848" max="14848" width="8.42578125" style="27" bestFit="1" customWidth="1"/>
    <col min="14849" max="14849" width="1.85546875" style="27" bestFit="1" customWidth="1"/>
    <col min="14850" max="14850" width="9.85546875" style="27" bestFit="1" customWidth="1"/>
    <col min="14851" max="14852" width="9.140625" style="27"/>
    <col min="14853" max="14853" width="20.42578125" style="27" bestFit="1" customWidth="1"/>
    <col min="14854" max="14854" width="9.85546875" style="27" bestFit="1" customWidth="1"/>
    <col min="14855" max="15087" width="9.140625" style="27"/>
    <col min="15088" max="15088" width="14.7109375" style="27" bestFit="1" customWidth="1"/>
    <col min="15089" max="15089" width="16" style="27" customWidth="1"/>
    <col min="15090" max="15090" width="12.85546875" style="27" bestFit="1" customWidth="1"/>
    <col min="15091" max="15092" width="10.140625" style="27" bestFit="1" customWidth="1"/>
    <col min="15093" max="15093" width="22.42578125" style="27" bestFit="1" customWidth="1"/>
    <col min="15094" max="15094" width="14" style="27" customWidth="1"/>
    <col min="15095" max="15095" width="4.85546875" style="27" bestFit="1" customWidth="1"/>
    <col min="15096" max="15096" width="9.42578125" style="27" customWidth="1"/>
    <col min="15097" max="15097" width="12.42578125" style="27" bestFit="1" customWidth="1"/>
    <col min="15098" max="15098" width="7.85546875" style="27" bestFit="1" customWidth="1"/>
    <col min="15099" max="15099" width="5.85546875" style="27" bestFit="1" customWidth="1"/>
    <col min="15100" max="15100" width="6.140625" style="27" bestFit="1" customWidth="1"/>
    <col min="15101" max="15101" width="4.42578125" style="27" bestFit="1" customWidth="1"/>
    <col min="15102" max="15102" width="6.85546875" style="27" bestFit="1" customWidth="1"/>
    <col min="15103" max="15103" width="4.42578125" style="27" bestFit="1" customWidth="1"/>
    <col min="15104" max="15104" width="8.42578125" style="27" bestFit="1" customWidth="1"/>
    <col min="15105" max="15105" width="1.85546875" style="27" bestFit="1" customWidth="1"/>
    <col min="15106" max="15106" width="9.85546875" style="27" bestFit="1" customWidth="1"/>
    <col min="15107" max="15108" width="9.140625" style="27"/>
    <col min="15109" max="15109" width="20.42578125" style="27" bestFit="1" customWidth="1"/>
    <col min="15110" max="15110" width="9.85546875" style="27" bestFit="1" customWidth="1"/>
    <col min="15111" max="15343" width="9.140625" style="27"/>
    <col min="15344" max="15344" width="14.7109375" style="27" bestFit="1" customWidth="1"/>
    <col min="15345" max="15345" width="16" style="27" customWidth="1"/>
    <col min="15346" max="15346" width="12.85546875" style="27" bestFit="1" customWidth="1"/>
    <col min="15347" max="15348" width="10.140625" style="27" bestFit="1" customWidth="1"/>
    <col min="15349" max="15349" width="22.42578125" style="27" bestFit="1" customWidth="1"/>
    <col min="15350" max="15350" width="14" style="27" customWidth="1"/>
    <col min="15351" max="15351" width="4.85546875" style="27" bestFit="1" customWidth="1"/>
    <col min="15352" max="15352" width="9.42578125" style="27" customWidth="1"/>
    <col min="15353" max="15353" width="12.42578125" style="27" bestFit="1" customWidth="1"/>
    <col min="15354" max="15354" width="7.85546875" style="27" bestFit="1" customWidth="1"/>
    <col min="15355" max="15355" width="5.85546875" style="27" bestFit="1" customWidth="1"/>
    <col min="15356" max="15356" width="6.140625" style="27" bestFit="1" customWidth="1"/>
    <col min="15357" max="15357" width="4.42578125" style="27" bestFit="1" customWidth="1"/>
    <col min="15358" max="15358" width="6.85546875" style="27" bestFit="1" customWidth="1"/>
    <col min="15359" max="15359" width="4.42578125" style="27" bestFit="1" customWidth="1"/>
    <col min="15360" max="15360" width="8.42578125" style="27" bestFit="1" customWidth="1"/>
    <col min="15361" max="15361" width="1.85546875" style="27" bestFit="1" customWidth="1"/>
    <col min="15362" max="15362" width="9.85546875" style="27" bestFit="1" customWidth="1"/>
    <col min="15363" max="15364" width="9.140625" style="27"/>
    <col min="15365" max="15365" width="20.42578125" style="27" bestFit="1" customWidth="1"/>
    <col min="15366" max="15366" width="9.85546875" style="27" bestFit="1" customWidth="1"/>
    <col min="15367" max="15599" width="9.140625" style="27"/>
    <col min="15600" max="15600" width="14.7109375" style="27" bestFit="1" customWidth="1"/>
    <col min="15601" max="15601" width="16" style="27" customWidth="1"/>
    <col min="15602" max="15602" width="12.85546875" style="27" bestFit="1" customWidth="1"/>
    <col min="15603" max="15604" width="10.140625" style="27" bestFit="1" customWidth="1"/>
    <col min="15605" max="15605" width="22.42578125" style="27" bestFit="1" customWidth="1"/>
    <col min="15606" max="15606" width="14" style="27" customWidth="1"/>
    <col min="15607" max="15607" width="4.85546875" style="27" bestFit="1" customWidth="1"/>
    <col min="15608" max="15608" width="9.42578125" style="27" customWidth="1"/>
    <col min="15609" max="15609" width="12.42578125" style="27" bestFit="1" customWidth="1"/>
    <col min="15610" max="15610" width="7.85546875" style="27" bestFit="1" customWidth="1"/>
    <col min="15611" max="15611" width="5.85546875" style="27" bestFit="1" customWidth="1"/>
    <col min="15612" max="15612" width="6.140625" style="27" bestFit="1" customWidth="1"/>
    <col min="15613" max="15613" width="4.42578125" style="27" bestFit="1" customWidth="1"/>
    <col min="15614" max="15614" width="6.85546875" style="27" bestFit="1" customWidth="1"/>
    <col min="15615" max="15615" width="4.42578125" style="27" bestFit="1" customWidth="1"/>
    <col min="15616" max="15616" width="8.42578125" style="27" bestFit="1" customWidth="1"/>
    <col min="15617" max="15617" width="1.85546875" style="27" bestFit="1" customWidth="1"/>
    <col min="15618" max="15618" width="9.85546875" style="27" bestFit="1" customWidth="1"/>
    <col min="15619" max="15620" width="9.140625" style="27"/>
    <col min="15621" max="15621" width="20.42578125" style="27" bestFit="1" customWidth="1"/>
    <col min="15622" max="15622" width="9.85546875" style="27" bestFit="1" customWidth="1"/>
    <col min="15623" max="15855" width="9.140625" style="27"/>
    <col min="15856" max="15856" width="14.7109375" style="27" bestFit="1" customWidth="1"/>
    <col min="15857" max="15857" width="16" style="27" customWidth="1"/>
    <col min="15858" max="15858" width="12.85546875" style="27" bestFit="1" customWidth="1"/>
    <col min="15859" max="15860" width="10.140625" style="27" bestFit="1" customWidth="1"/>
    <col min="15861" max="15861" width="22.42578125" style="27" bestFit="1" customWidth="1"/>
    <col min="15862" max="15862" width="14" style="27" customWidth="1"/>
    <col min="15863" max="15863" width="4.85546875" style="27" bestFit="1" customWidth="1"/>
    <col min="15864" max="15864" width="9.42578125" style="27" customWidth="1"/>
    <col min="15865" max="15865" width="12.42578125" style="27" bestFit="1" customWidth="1"/>
    <col min="15866" max="15866" width="7.85546875" style="27" bestFit="1" customWidth="1"/>
    <col min="15867" max="15867" width="5.85546875" style="27" bestFit="1" customWidth="1"/>
    <col min="15868" max="15868" width="6.140625" style="27" bestFit="1" customWidth="1"/>
    <col min="15869" max="15869" width="4.42578125" style="27" bestFit="1" customWidth="1"/>
    <col min="15870" max="15870" width="6.85546875" style="27" bestFit="1" customWidth="1"/>
    <col min="15871" max="15871" width="4.42578125" style="27" bestFit="1" customWidth="1"/>
    <col min="15872" max="15872" width="8.42578125" style="27" bestFit="1" customWidth="1"/>
    <col min="15873" max="15873" width="1.85546875" style="27" bestFit="1" customWidth="1"/>
    <col min="15874" max="15874" width="9.85546875" style="27" bestFit="1" customWidth="1"/>
    <col min="15875" max="15876" width="9.140625" style="27"/>
    <col min="15877" max="15877" width="20.42578125" style="27" bestFit="1" customWidth="1"/>
    <col min="15878" max="15878" width="9.85546875" style="27" bestFit="1" customWidth="1"/>
    <col min="15879" max="16111" width="9.140625" style="27"/>
    <col min="16112" max="16112" width="14.7109375" style="27" bestFit="1" customWidth="1"/>
    <col min="16113" max="16113" width="16" style="27" customWidth="1"/>
    <col min="16114" max="16114" width="12.85546875" style="27" bestFit="1" customWidth="1"/>
    <col min="16115" max="16116" width="10.140625" style="27" bestFit="1" customWidth="1"/>
    <col min="16117" max="16117" width="22.42578125" style="27" bestFit="1" customWidth="1"/>
    <col min="16118" max="16118" width="14" style="27" customWidth="1"/>
    <col min="16119" max="16119" width="4.85546875" style="27" bestFit="1" customWidth="1"/>
    <col min="16120" max="16120" width="9.42578125" style="27" customWidth="1"/>
    <col min="16121" max="16121" width="12.42578125" style="27" bestFit="1" customWidth="1"/>
    <col min="16122" max="16122" width="7.85546875" style="27" bestFit="1" customWidth="1"/>
    <col min="16123" max="16123" width="5.85546875" style="27" bestFit="1" customWidth="1"/>
    <col min="16124" max="16124" width="6.140625" style="27" bestFit="1" customWidth="1"/>
    <col min="16125" max="16125" width="4.42578125" style="27" bestFit="1" customWidth="1"/>
    <col min="16126" max="16126" width="6.85546875" style="27" bestFit="1" customWidth="1"/>
    <col min="16127" max="16127" width="4.42578125" style="27" bestFit="1" customWidth="1"/>
    <col min="16128" max="16128" width="8.42578125" style="27" bestFit="1" customWidth="1"/>
    <col min="16129" max="16129" width="1.85546875" style="27" bestFit="1" customWidth="1"/>
    <col min="16130" max="16130" width="9.85546875" style="27" bestFit="1" customWidth="1"/>
    <col min="16131" max="16132" width="9.140625" style="27"/>
    <col min="16133" max="16133" width="20.42578125" style="27" bestFit="1" customWidth="1"/>
    <col min="16134" max="16134" width="9.85546875" style="27" bestFit="1" customWidth="1"/>
    <col min="16135" max="16384" width="9.140625" style="27"/>
  </cols>
  <sheetData>
    <row r="1" spans="1:21" ht="39" customHeight="1" thickBot="1">
      <c r="A1" s="222" t="s">
        <v>190</v>
      </c>
      <c r="B1" s="222"/>
      <c r="C1" s="222"/>
      <c r="D1" s="81"/>
      <c r="G1" s="223" t="s">
        <v>140</v>
      </c>
      <c r="H1" s="223"/>
      <c r="I1" s="223"/>
      <c r="J1" s="223"/>
      <c r="K1" s="223"/>
    </row>
    <row r="2" spans="1:21" ht="40.5" customHeight="1" thickTop="1" thickBot="1">
      <c r="A2" s="83" t="s">
        <v>183</v>
      </c>
      <c r="B2" s="87">
        <v>500000</v>
      </c>
      <c r="C2" s="83" t="s">
        <v>183</v>
      </c>
      <c r="D2" s="81"/>
      <c r="E2" s="85"/>
      <c r="F2" s="86"/>
      <c r="G2" s="86">
        <v>1</v>
      </c>
      <c r="H2" s="86">
        <f>+G2+1</f>
        <v>2</v>
      </c>
      <c r="I2" s="86">
        <f t="shared" ref="I2:L2" si="0">+H2+1</f>
        <v>3</v>
      </c>
      <c r="J2" s="86">
        <f t="shared" si="0"/>
        <v>4</v>
      </c>
      <c r="K2" s="86">
        <f t="shared" si="0"/>
        <v>5</v>
      </c>
      <c r="L2" s="86">
        <f t="shared" si="0"/>
        <v>6</v>
      </c>
    </row>
    <row r="3" spans="1:21" ht="39.75" thickTop="1" thickBot="1">
      <c r="A3" s="83" t="s">
        <v>184</v>
      </c>
      <c r="B3" s="84">
        <f>VLOOKUP($B$2,$B$4:$C$9,2,0)</f>
        <v>101750</v>
      </c>
      <c r="C3" s="83" t="s">
        <v>184</v>
      </c>
      <c r="D3" s="81"/>
      <c r="E3" s="85"/>
      <c r="F3" s="136" t="s">
        <v>119</v>
      </c>
      <c r="G3" s="136" t="s">
        <v>120</v>
      </c>
      <c r="H3" s="136" t="s">
        <v>121</v>
      </c>
      <c r="I3" s="136" t="s">
        <v>122</v>
      </c>
      <c r="J3" s="136" t="s">
        <v>123</v>
      </c>
      <c r="K3" s="136" t="s">
        <v>164</v>
      </c>
      <c r="L3" s="136" t="s">
        <v>167</v>
      </c>
      <c r="P3" s="160">
        <v>0</v>
      </c>
      <c r="Q3" s="158">
        <f>+P3*O3</f>
        <v>0</v>
      </c>
    </row>
    <row r="4" spans="1:21" s="82" customFormat="1" ht="17.25" thickTop="1" thickBot="1">
      <c r="A4" s="88" t="s">
        <v>111</v>
      </c>
      <c r="B4" s="89">
        <f>IF($B$2&lt;=600000,$B$2,0)</f>
        <v>500000</v>
      </c>
      <c r="C4" s="159">
        <f>IF(B4&lt;=30000,"0",IF(B4&lt;=45000,(B4*10%)-3000,IF(B4&lt;=60000,(B4*15%)-5250,IF(B4&lt;=200000,(B4*20%)-8250,IF(B4&lt;=400000,(B4*22.5%)-13250,IF(B4&gt;400000,(B4*25%)-23250,"000"))))))</f>
        <v>101750</v>
      </c>
      <c r="D4" s="81"/>
      <c r="E4" s="85">
        <v>1</v>
      </c>
      <c r="F4" s="137">
        <v>0</v>
      </c>
      <c r="G4" s="136" t="s">
        <v>137</v>
      </c>
      <c r="H4" s="138">
        <v>0</v>
      </c>
      <c r="I4" s="138">
        <v>0</v>
      </c>
      <c r="J4" s="138">
        <v>0</v>
      </c>
      <c r="K4" s="138">
        <v>0</v>
      </c>
      <c r="L4" s="138">
        <v>0</v>
      </c>
      <c r="O4" s="169">
        <v>12000</v>
      </c>
      <c r="P4" s="160">
        <v>0.1</v>
      </c>
      <c r="Q4" s="158">
        <f t="shared" ref="Q4:Q9" si="1">+P4*O4</f>
        <v>1200</v>
      </c>
      <c r="S4" s="27"/>
      <c r="T4" s="27"/>
    </row>
    <row r="5" spans="1:21" ht="27" customHeight="1" thickTop="1" thickBot="1">
      <c r="A5" s="92" t="s">
        <v>112</v>
      </c>
      <c r="B5" s="93">
        <f>IF(AND($B$2&gt;600000,$B$2&lt;=700000),$B$2,0)</f>
        <v>0</v>
      </c>
      <c r="C5" s="94">
        <f>IF(B5&lt;=45000,(B5*10%),IF(B5&lt;=60000,(B5*15%)-2250,IF(B5&lt;=200000,(B5*20%)-5250,IF(B5&lt;=400000,(B5*22.5%)-10250,IF(B5&gt;400000,(B5*25%)-20250,"000")))))</f>
        <v>0</v>
      </c>
      <c r="D5" s="81"/>
      <c r="E5" s="85">
        <f>+E4+1</f>
        <v>2</v>
      </c>
      <c r="F5" s="137">
        <v>0.1</v>
      </c>
      <c r="G5" s="136" t="s">
        <v>128</v>
      </c>
      <c r="H5" s="136" t="s">
        <v>185</v>
      </c>
      <c r="I5" s="136"/>
      <c r="J5" s="138">
        <v>0</v>
      </c>
      <c r="K5" s="138">
        <v>0</v>
      </c>
      <c r="L5" s="138">
        <v>0</v>
      </c>
      <c r="P5" s="160">
        <v>0.15</v>
      </c>
      <c r="Q5" s="158">
        <f t="shared" si="1"/>
        <v>0</v>
      </c>
      <c r="S5" s="82"/>
      <c r="T5" s="82"/>
    </row>
    <row r="6" spans="1:21" ht="33.75" customHeight="1" thickTop="1" thickBot="1">
      <c r="A6" s="92" t="s">
        <v>114</v>
      </c>
      <c r="B6" s="93">
        <f>IF(AND($B$2&gt;700000,$B$2&lt;=800000),$B$2,0)</f>
        <v>0</v>
      </c>
      <c r="C6" s="94">
        <f>IF(B6&lt;=60000,(B6*15%),IF(B6&lt;=200000,(B6*20%)-3000,IF(B6&lt;=400000,(B6*22.5%)-8000,IF(B6&gt;400000,(B6*25%)-18000,"000"))))</f>
        <v>0</v>
      </c>
      <c r="D6" s="81"/>
      <c r="E6" s="85">
        <f t="shared" ref="E6:E10" si="2">+E5+1</f>
        <v>3</v>
      </c>
      <c r="F6" s="137">
        <v>0.15</v>
      </c>
      <c r="G6" s="136" t="s">
        <v>129</v>
      </c>
      <c r="H6" s="136" t="s">
        <v>129</v>
      </c>
      <c r="I6" s="136" t="s">
        <v>186</v>
      </c>
      <c r="J6" s="136"/>
      <c r="K6" s="138">
        <v>0</v>
      </c>
      <c r="L6" s="138">
        <v>0</v>
      </c>
      <c r="P6" s="160">
        <v>0.2</v>
      </c>
      <c r="Q6" s="158">
        <f t="shared" si="1"/>
        <v>0</v>
      </c>
    </row>
    <row r="7" spans="1:21" ht="33.75" customHeight="1" thickTop="1" thickBot="1">
      <c r="A7" s="92" t="s">
        <v>113</v>
      </c>
      <c r="B7" s="93">
        <f>IF(AND($B$2&gt;800000,$B$2&lt;=900000),$B$2,0)</f>
        <v>0</v>
      </c>
      <c r="C7" s="94">
        <f>IF(B7&lt;=200000,(B7*20%),IF(B7&lt;=400000,(B7*22.5%)-5000,IF(B7&gt;400000,(B7*25%)-15000,"000")))</f>
        <v>0</v>
      </c>
      <c r="D7" s="81"/>
      <c r="E7" s="85">
        <f t="shared" si="2"/>
        <v>4</v>
      </c>
      <c r="F7" s="137">
        <v>0.2</v>
      </c>
      <c r="G7" s="136" t="s">
        <v>130</v>
      </c>
      <c r="H7" s="136" t="s">
        <v>130</v>
      </c>
      <c r="I7" s="136" t="s">
        <v>130</v>
      </c>
      <c r="J7" s="136" t="s">
        <v>187</v>
      </c>
      <c r="K7" s="136"/>
      <c r="L7" s="138">
        <v>0</v>
      </c>
      <c r="P7" s="160">
        <v>0.22500000000000001</v>
      </c>
      <c r="Q7" s="158">
        <f t="shared" si="1"/>
        <v>0</v>
      </c>
    </row>
    <row r="8" spans="1:21" ht="33.75" customHeight="1" thickTop="1" thickBot="1">
      <c r="A8" s="92" t="s">
        <v>168</v>
      </c>
      <c r="B8" s="93">
        <f>IF(AND($B$2&gt;900000,$B$2&lt;=1200000),$B$2,0)</f>
        <v>0</v>
      </c>
      <c r="C8" s="94">
        <f>IF(B8&lt;=400000,(B8*22.5%),IF(B8&gt;400000,(B8*25%)-10000,"000"))</f>
        <v>0</v>
      </c>
      <c r="D8" s="81"/>
      <c r="E8" s="85">
        <f t="shared" si="2"/>
        <v>5</v>
      </c>
      <c r="F8" s="137">
        <v>0.22500000000000001</v>
      </c>
      <c r="G8" s="136" t="s">
        <v>131</v>
      </c>
      <c r="H8" s="136" t="s">
        <v>131</v>
      </c>
      <c r="I8" s="136" t="s">
        <v>131</v>
      </c>
      <c r="J8" s="136" t="s">
        <v>131</v>
      </c>
      <c r="K8" s="136" t="s">
        <v>188</v>
      </c>
      <c r="L8" s="136"/>
      <c r="P8" s="160">
        <v>0.25</v>
      </c>
      <c r="Q8" s="158">
        <f t="shared" si="1"/>
        <v>0</v>
      </c>
    </row>
    <row r="9" spans="1:21" ht="33.75" customHeight="1" thickTop="1" thickBot="1">
      <c r="A9" s="95" t="s">
        <v>169</v>
      </c>
      <c r="B9" s="96">
        <f>IF(1200000&lt;$B$2,$B$2,0)</f>
        <v>0</v>
      </c>
      <c r="C9" s="97">
        <f>IF(B9&lt;=1200000,(B9*25%),IF(B9&gt;1200000,(B9*27.5%)-30000,"000"))</f>
        <v>0</v>
      </c>
      <c r="D9" s="81"/>
      <c r="E9" s="85">
        <f t="shared" si="2"/>
        <v>6</v>
      </c>
      <c r="F9" s="137">
        <v>0.25</v>
      </c>
      <c r="G9" s="136" t="s">
        <v>132</v>
      </c>
      <c r="H9" s="136" t="s">
        <v>132</v>
      </c>
      <c r="I9" s="136" t="s">
        <v>132</v>
      </c>
      <c r="J9" s="136" t="s">
        <v>132</v>
      </c>
      <c r="K9" s="136" t="s">
        <v>132</v>
      </c>
      <c r="L9" s="136" t="s">
        <v>175</v>
      </c>
      <c r="P9" s="160">
        <v>0.27500000000000002</v>
      </c>
      <c r="Q9" s="158">
        <f t="shared" si="1"/>
        <v>0</v>
      </c>
    </row>
    <row r="10" spans="1:21" ht="27" thickTop="1" thickBot="1">
      <c r="D10" s="81"/>
      <c r="E10" s="85">
        <f t="shared" si="2"/>
        <v>7</v>
      </c>
      <c r="F10" s="137">
        <v>0.27500000000000002</v>
      </c>
      <c r="G10" s="136"/>
      <c r="H10" s="136"/>
      <c r="I10" s="136"/>
      <c r="J10" s="136"/>
      <c r="K10" s="136"/>
      <c r="L10" s="146" t="s">
        <v>166</v>
      </c>
      <c r="O10" s="37">
        <f>SUM(O3:O9)</f>
        <v>12000</v>
      </c>
      <c r="P10" s="37"/>
      <c r="Q10" s="37">
        <f>SUM(Q4:Q9)</f>
        <v>1200</v>
      </c>
    </row>
    <row r="11" spans="1:21" ht="17.25" thickTop="1" thickBot="1">
      <c r="A11" s="27" t="s">
        <v>178</v>
      </c>
      <c r="B11" s="37">
        <f>+B2</f>
        <v>500000</v>
      </c>
      <c r="C11" s="168">
        <f>IF(B11&lt;=30000,0,IF(B11&lt;=45000,(B11*10%)-3000,IF(B11&lt;=60000,(B11*15%)-5250,IF(B11&lt;=200000,(B11*20%)-8250,IF(B11&lt;=400000,(B11*22.5%)-13250,IF(B11&lt;=600000,(B11*25%)-23250,IF(B11&lt;=700000,(B11*25%)-20250,IF(B11&lt;=800000,(B11*25%)-18000,IF(B11&lt;=900000,(B11*25%)-15000,IF(B11&lt;=1200000,(B11*25%)-10000,IF(B11&gt;1200000,(B11*27.5%)-30000,"000")))))))))))</f>
        <v>101750</v>
      </c>
      <c r="D11" s="81"/>
      <c r="P11" s="139"/>
    </row>
    <row r="12" spans="1:21" ht="16.5" thickTop="1">
      <c r="B12" s="37"/>
      <c r="D12" s="81"/>
      <c r="F12" s="158"/>
      <c r="G12" s="208" t="s">
        <v>157</v>
      </c>
      <c r="H12" s="208"/>
      <c r="I12" s="208"/>
      <c r="J12" s="208"/>
      <c r="K12" s="208"/>
    </row>
    <row r="13" spans="1:21" ht="15.75" customHeight="1" thickBot="1">
      <c r="B13" s="37"/>
      <c r="D13" s="81"/>
      <c r="G13" s="208"/>
      <c r="H13" s="208"/>
      <c r="I13" s="208"/>
      <c r="J13" s="208"/>
      <c r="K13" s="208"/>
    </row>
    <row r="14" spans="1:21" ht="15.75" customHeight="1" thickTop="1" thickBot="1">
      <c r="A14" s="27" t="s">
        <v>179</v>
      </c>
      <c r="B14" s="37">
        <f>+B11+15000</f>
        <v>515000</v>
      </c>
      <c r="C14" s="168">
        <f>IF(B14&lt;=45000,0,IF(B14&lt;=60000,(B14*10%)-4500,IF(B14&lt;=75000,(B14*15%)-7500,IF(B14&lt;=215000,(B14*20%)-11250,IF(B14&lt;=415000,(B14*22.5%)-16625,IF(B14&lt;=615000,(B14*25%)-27000,IF(B14&lt;=715000,(B14*25%)-24000,IF(B14&lt;=815000,(B14*25%)-21750,IF(B14&lt;=915000,(B14*25%)-18750,IF(B14&lt;=1215000,(B14*25%)-13750,IF(B14&gt;1215000,(B14*27.5%)-34125,"000")))))))))))</f>
        <v>101750</v>
      </c>
      <c r="D14" s="81"/>
      <c r="G14" s="208"/>
      <c r="H14" s="208"/>
      <c r="I14" s="208"/>
      <c r="J14" s="208"/>
      <c r="K14" s="208"/>
      <c r="P14"/>
    </row>
    <row r="15" spans="1:21" ht="16.5" customHeight="1" thickTop="1">
      <c r="B15" s="37"/>
      <c r="D15" s="81"/>
      <c r="G15" s="208"/>
      <c r="H15" s="208"/>
      <c r="I15" s="208"/>
      <c r="J15" s="208"/>
      <c r="K15" s="208"/>
      <c r="L15"/>
      <c r="M15"/>
      <c r="P15"/>
      <c r="U15"/>
    </row>
    <row r="16" spans="1:21" ht="17.25" customHeight="1" thickBot="1">
      <c r="B16" s="37"/>
      <c r="C16" s="81">
        <f>+C14-C11</f>
        <v>0</v>
      </c>
      <c r="D16" s="81"/>
      <c r="F16" s="158"/>
      <c r="G16" s="208"/>
      <c r="H16" s="208"/>
      <c r="I16" s="208"/>
      <c r="J16" s="208"/>
      <c r="K16" s="208"/>
      <c r="L16"/>
      <c r="M16"/>
      <c r="N16"/>
      <c r="O16" s="152"/>
      <c r="P16"/>
      <c r="Q16"/>
      <c r="R16"/>
      <c r="S16"/>
      <c r="T16"/>
      <c r="U16"/>
    </row>
    <row r="17" spans="1:21" ht="15.75" customHeight="1" thickTop="1" thickBot="1">
      <c r="B17" s="37">
        <f>+B14/12</f>
        <v>42916.666666666664</v>
      </c>
      <c r="C17" s="172">
        <f>IF(B17&lt;=3750,"0",IF(B17&lt;=5000,(B17*10%)-375,IF(B17&lt;=6250,(B17*15%)-625,IF(B17&lt;=17916.6666666666,(B17*20%)-937.5,IF(B17&lt;=34583.3333333333,(B17*22.5%)-1385.41666666666,IF(B17&lt;=51250,(B17*25%)-2250,IF(B17&lt;=59583.3333333333,(B17*25%)-2000,IF(B17&lt;=67916.666667,(B17*25%)-1812.5,IF(B17&lt;=76250,(B17*25%)-1562.5,IF(B17&lt;=101250,(B17*25%)-1145.8333333333,IF(B17&gt;101250,(B17*27.5%)-2843.75,"000")))))))))))</f>
        <v>8479.1666666666661</v>
      </c>
      <c r="D17" s="81"/>
      <c r="G17"/>
      <c r="H17"/>
      <c r="I17"/>
      <c r="J17"/>
      <c r="K17"/>
      <c r="L17"/>
      <c r="M17"/>
      <c r="N17"/>
      <c r="O17" s="152"/>
      <c r="P17"/>
      <c r="Q17"/>
      <c r="R17"/>
      <c r="S17"/>
      <c r="T17"/>
      <c r="U17"/>
    </row>
    <row r="18" spans="1:21" ht="16.5" thickTop="1">
      <c r="B18" s="37"/>
      <c r="C18" s="81">
        <f>+C14/12-C17</f>
        <v>0</v>
      </c>
      <c r="D18" s="81"/>
      <c r="F18" s="213" t="s">
        <v>177</v>
      </c>
      <c r="G18" s="224"/>
      <c r="H18" s="224"/>
      <c r="I18" s="224"/>
      <c r="J18" s="224"/>
      <c r="K18" s="224"/>
      <c r="L18" s="224"/>
      <c r="M18"/>
      <c r="N18"/>
      <c r="O18" s="152"/>
      <c r="P18"/>
      <c r="Q18"/>
      <c r="R18"/>
      <c r="S18"/>
      <c r="T18"/>
      <c r="U18"/>
    </row>
    <row r="19" spans="1:21" ht="16.5" thickBot="1">
      <c r="B19" s="37"/>
      <c r="C19" s="81"/>
      <c r="D19" s="81"/>
      <c r="F19" s="224"/>
      <c r="G19" s="224"/>
      <c r="H19" s="224"/>
      <c r="I19" s="224"/>
      <c r="J19" s="224"/>
      <c r="K19" s="224"/>
      <c r="L19" s="224"/>
      <c r="M19"/>
      <c r="N19"/>
      <c r="O19" s="152"/>
      <c r="P19"/>
      <c r="Q19"/>
      <c r="R19"/>
      <c r="S19"/>
      <c r="T19"/>
      <c r="U19"/>
    </row>
    <row r="20" spans="1:21" ht="17.25" thickTop="1" thickBot="1">
      <c r="B20" s="37">
        <f>+B11-30000</f>
        <v>470000</v>
      </c>
      <c r="C20" s="36">
        <f>IF(B20&lt;=0,"0",IF(B20&lt;=15000,(B20*10%),IF(B20&lt;=30000,(B20*15%)-750,IF(B20&lt;=170000,(B20*20%)-2250,IF(B20&lt;=370000,(B20*22.5%)-6500,IF(B20&lt;=570000,(B20*25%)-15750,IF(B20&lt;=670000,(B20*25%)-12750,IF(B20&lt;=770000,(B20*25%)-10500,IF(B20&lt;=870000,(B20*25%)-7500,IF(B20&lt;=1170000,(B20*25%)-2500,IF(B20&gt;1170000,(B20*27.5%)-21750,"000")))))))))))</f>
        <v>101750</v>
      </c>
      <c r="D20" s="81"/>
      <c r="F20" s="224"/>
      <c r="G20" s="224"/>
      <c r="H20" s="224"/>
      <c r="I20" s="224"/>
      <c r="J20" s="224"/>
      <c r="K20" s="224"/>
      <c r="L20" s="224"/>
      <c r="M20"/>
      <c r="N20"/>
      <c r="O20" s="152"/>
      <c r="P20"/>
      <c r="Q20"/>
      <c r="R20"/>
      <c r="S20"/>
      <c r="T20"/>
    </row>
    <row r="21" spans="1:21" ht="19.5" thickTop="1">
      <c r="A21" s="158">
        <f>+C11-C20</f>
        <v>0</v>
      </c>
      <c r="C21" s="81"/>
      <c r="D21" s="81"/>
      <c r="F21" s="225" t="s">
        <v>176</v>
      </c>
      <c r="G21" s="225"/>
      <c r="H21" s="225"/>
      <c r="I21" s="225"/>
      <c r="J21" s="225"/>
      <c r="K21" s="225"/>
      <c r="L21" s="225"/>
      <c r="M21"/>
      <c r="N21"/>
      <c r="O21" s="152"/>
      <c r="P21"/>
      <c r="Q21"/>
      <c r="R21"/>
      <c r="S21"/>
      <c r="T21"/>
    </row>
    <row r="22" spans="1:21">
      <c r="A22" s="158"/>
      <c r="C22" s="81"/>
      <c r="F22"/>
      <c r="G22"/>
      <c r="H22"/>
      <c r="I22"/>
      <c r="J22"/>
      <c r="K22"/>
      <c r="L22"/>
      <c r="M22"/>
      <c r="N22"/>
      <c r="O22" s="152"/>
      <c r="P22"/>
      <c r="Q22"/>
      <c r="R22"/>
      <c r="S22"/>
      <c r="T22"/>
    </row>
    <row r="23" spans="1:21">
      <c r="F23" s="81"/>
      <c r="G23"/>
      <c r="H23"/>
      <c r="I23"/>
      <c r="J23"/>
      <c r="K23"/>
      <c r="L23"/>
      <c r="M23"/>
      <c r="N23"/>
      <c r="O23" s="152"/>
      <c r="P23"/>
      <c r="Q23"/>
      <c r="R23"/>
      <c r="S23"/>
      <c r="T23"/>
    </row>
    <row r="24" spans="1:21">
      <c r="F24" s="81"/>
      <c r="G24"/>
      <c r="H24"/>
      <c r="I24"/>
      <c r="J24"/>
      <c r="K24"/>
      <c r="L24"/>
      <c r="M24"/>
      <c r="N24"/>
      <c r="O24" s="152"/>
      <c r="P24"/>
      <c r="Q24"/>
      <c r="R24"/>
      <c r="S24"/>
      <c r="T24"/>
    </row>
    <row r="25" spans="1:21">
      <c r="F25" s="81"/>
      <c r="G25"/>
      <c r="H25"/>
      <c r="I25"/>
      <c r="J25"/>
      <c r="K25"/>
      <c r="L25"/>
      <c r="M25"/>
      <c r="N25"/>
      <c r="O25" s="152"/>
      <c r="P25"/>
      <c r="Q25"/>
      <c r="R25"/>
      <c r="S25"/>
      <c r="T25"/>
      <c r="U25"/>
    </row>
    <row r="26" spans="1:21">
      <c r="G26"/>
      <c r="H26"/>
      <c r="I26"/>
      <c r="J26"/>
      <c r="K26"/>
      <c r="L26"/>
      <c r="M26"/>
      <c r="N26"/>
      <c r="O26" s="152"/>
      <c r="P26"/>
      <c r="Q26"/>
      <c r="R26"/>
      <c r="S26"/>
      <c r="T26"/>
      <c r="U26"/>
    </row>
    <row r="27" spans="1:21">
      <c r="G27"/>
      <c r="H27"/>
      <c r="I27"/>
      <c r="J27"/>
      <c r="K27"/>
      <c r="L27"/>
      <c r="M27"/>
      <c r="N27"/>
      <c r="O27" s="152"/>
      <c r="P27"/>
      <c r="Q27"/>
      <c r="R27"/>
      <c r="S27"/>
      <c r="T27"/>
      <c r="U27"/>
    </row>
    <row r="28" spans="1:21">
      <c r="G28"/>
      <c r="H28"/>
      <c r="I28"/>
      <c r="J28"/>
      <c r="K28"/>
      <c r="L28"/>
      <c r="M28"/>
      <c r="N28"/>
      <c r="O28" s="152"/>
      <c r="P28"/>
      <c r="Q28"/>
      <c r="R28"/>
      <c r="S28"/>
      <c r="T28"/>
      <c r="U28"/>
    </row>
    <row r="29" spans="1:21">
      <c r="G29"/>
      <c r="H29"/>
      <c r="I29"/>
      <c r="J29"/>
      <c r="K29"/>
      <c r="L29"/>
      <c r="M29"/>
      <c r="N29"/>
      <c r="O29" s="152"/>
      <c r="P29"/>
      <c r="Q29"/>
      <c r="R29"/>
      <c r="S29"/>
      <c r="T29"/>
      <c r="U29"/>
    </row>
    <row r="30" spans="1:21">
      <c r="G30"/>
      <c r="H30"/>
      <c r="I30"/>
      <c r="J30"/>
      <c r="K30"/>
      <c r="L30"/>
      <c r="M30"/>
      <c r="N30"/>
      <c r="O30" s="152"/>
      <c r="P30"/>
      <c r="Q30"/>
      <c r="R30"/>
      <c r="S30"/>
      <c r="T30"/>
      <c r="U30"/>
    </row>
    <row r="31" spans="1:21">
      <c r="G31"/>
      <c r="H31"/>
      <c r="I31"/>
      <c r="J31"/>
      <c r="K31"/>
      <c r="L31"/>
      <c r="M31"/>
      <c r="N31"/>
      <c r="O31" s="152"/>
      <c r="P31"/>
      <c r="Q31"/>
      <c r="R31"/>
      <c r="S31"/>
      <c r="T31"/>
      <c r="U31"/>
    </row>
    <row r="32" spans="1:21">
      <c r="G32"/>
      <c r="H32"/>
      <c r="I32"/>
      <c r="J32"/>
      <c r="K32"/>
      <c r="L32"/>
      <c r="M32"/>
      <c r="N32"/>
      <c r="O32" s="152"/>
      <c r="P32"/>
      <c r="Q32"/>
      <c r="R32"/>
      <c r="S32"/>
      <c r="T32"/>
      <c r="U32"/>
    </row>
    <row r="33" spans="7:21">
      <c r="G33"/>
      <c r="H33"/>
      <c r="I33"/>
      <c r="J33"/>
      <c r="K33"/>
      <c r="L33"/>
      <c r="M33"/>
      <c r="N33"/>
      <c r="O33" s="152"/>
      <c r="P33"/>
      <c r="Q33"/>
      <c r="R33"/>
      <c r="S33"/>
      <c r="T33"/>
      <c r="U33"/>
    </row>
    <row r="34" spans="7:21">
      <c r="G34"/>
      <c r="H34"/>
      <c r="I34"/>
      <c r="J34"/>
      <c r="K34"/>
      <c r="L34"/>
      <c r="M34"/>
      <c r="N34"/>
      <c r="O34" s="152"/>
      <c r="P34"/>
      <c r="Q34"/>
      <c r="R34"/>
      <c r="S34"/>
      <c r="T34"/>
      <c r="U34"/>
    </row>
    <row r="35" spans="7:21">
      <c r="G35"/>
      <c r="H35"/>
      <c r="I35"/>
      <c r="J35"/>
      <c r="K35"/>
      <c r="L35"/>
      <c r="M35"/>
      <c r="N35"/>
      <c r="O35" s="152"/>
      <c r="P35"/>
      <c r="Q35"/>
      <c r="R35"/>
      <c r="S35"/>
      <c r="T35"/>
      <c r="U35"/>
    </row>
    <row r="36" spans="7:21">
      <c r="G36"/>
      <c r="H36"/>
      <c r="I36"/>
      <c r="J36"/>
      <c r="K36"/>
      <c r="L36"/>
      <c r="M36"/>
      <c r="N36"/>
      <c r="O36" s="152"/>
      <c r="P36"/>
      <c r="Q36"/>
      <c r="R36"/>
      <c r="S36"/>
      <c r="T36"/>
      <c r="U36"/>
    </row>
    <row r="37" spans="7:21">
      <c r="G37"/>
      <c r="H37"/>
      <c r="I37"/>
      <c r="J37"/>
      <c r="K37"/>
      <c r="L37"/>
      <c r="M37"/>
      <c r="N37"/>
      <c r="O37" s="152"/>
      <c r="P37"/>
      <c r="Q37"/>
      <c r="R37"/>
      <c r="S37"/>
      <c r="T37"/>
      <c r="U37"/>
    </row>
    <row r="38" spans="7:21">
      <c r="G38"/>
      <c r="H38"/>
      <c r="I38"/>
      <c r="J38"/>
      <c r="K38"/>
      <c r="L38"/>
      <c r="M38"/>
      <c r="N38"/>
      <c r="O38" s="152"/>
      <c r="P38"/>
      <c r="Q38"/>
      <c r="R38"/>
      <c r="S38"/>
      <c r="T38"/>
      <c r="U38"/>
    </row>
    <row r="39" spans="7:21">
      <c r="G39"/>
      <c r="H39"/>
      <c r="I39"/>
      <c r="J39"/>
      <c r="K39"/>
      <c r="L39"/>
      <c r="M39"/>
      <c r="N39"/>
      <c r="O39" s="152"/>
      <c r="P39"/>
      <c r="Q39"/>
      <c r="R39"/>
      <c r="S39"/>
      <c r="T39"/>
      <c r="U39"/>
    </row>
    <row r="40" spans="7:21">
      <c r="G40"/>
      <c r="H40"/>
      <c r="I40"/>
      <c r="J40"/>
      <c r="K40"/>
      <c r="L40"/>
      <c r="M40"/>
      <c r="N40"/>
      <c r="O40" s="152"/>
      <c r="Q40"/>
      <c r="R40"/>
      <c r="S40"/>
      <c r="T40"/>
      <c r="U40"/>
    </row>
    <row r="41" spans="7:21">
      <c r="N41"/>
      <c r="O41" s="152"/>
      <c r="Q41"/>
      <c r="R41"/>
      <c r="S41"/>
      <c r="T41"/>
    </row>
  </sheetData>
  <mergeCells count="5">
    <mergeCell ref="A1:C1"/>
    <mergeCell ref="G1:K1"/>
    <mergeCell ref="G12:K16"/>
    <mergeCell ref="F18:L20"/>
    <mergeCell ref="F21:L21"/>
  </mergeCells>
  <hyperlinks>
    <hyperlink ref="F21" r:id="rId1" xr:uid="{8E25A9BB-87AF-453C-8F0F-95522E768473}"/>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557EC-BB79-4662-A019-6D1786CCBA62}">
  <sheetPr>
    <tabColor rgb="FFFF0000"/>
  </sheetPr>
  <dimension ref="A1:U41"/>
  <sheetViews>
    <sheetView rightToLeft="1" zoomScale="80" zoomScaleNormal="80" workbookViewId="0">
      <selection activeCell="C11" sqref="C11"/>
    </sheetView>
  </sheetViews>
  <sheetFormatPr defaultRowHeight="15.75"/>
  <cols>
    <col min="1" max="1" width="27" style="27" bestFit="1" customWidth="1"/>
    <col min="2" max="2" width="29.42578125" style="27" bestFit="1" customWidth="1"/>
    <col min="3" max="3" width="22.85546875" style="27" bestFit="1" customWidth="1"/>
    <col min="4" max="4" width="4.140625" style="27" customWidth="1"/>
    <col min="5" max="5" width="2.140625" style="27" bestFit="1" customWidth="1"/>
    <col min="6" max="6" width="9.28515625" style="27" bestFit="1" customWidth="1"/>
    <col min="7" max="7" width="20.5703125" style="27" bestFit="1" customWidth="1"/>
    <col min="8" max="8" width="26.28515625" style="27" bestFit="1" customWidth="1"/>
    <col min="9" max="10" width="21.85546875" style="27" bestFit="1" customWidth="1"/>
    <col min="11" max="11" width="17.42578125" style="27" bestFit="1" customWidth="1"/>
    <col min="12" max="12" width="16.28515625" style="27" bestFit="1" customWidth="1"/>
    <col min="13" max="13" width="2.42578125" style="27" customWidth="1"/>
    <col min="14" max="14" width="9.140625" style="27"/>
    <col min="15" max="15" width="13.7109375" style="27" bestFit="1" customWidth="1"/>
    <col min="16" max="16" width="12.42578125" style="27" bestFit="1" customWidth="1"/>
    <col min="17" max="17" width="9.140625" style="27"/>
    <col min="18" max="18" width="13.7109375" style="27" bestFit="1" customWidth="1"/>
    <col min="19" max="19" width="9.140625" style="27"/>
    <col min="20" max="20" width="12.42578125" style="27" bestFit="1" customWidth="1"/>
    <col min="21" max="239" width="9.140625" style="27"/>
    <col min="240" max="240" width="14.7109375" style="27" bestFit="1" customWidth="1"/>
    <col min="241" max="241" width="16" style="27" customWidth="1"/>
    <col min="242" max="242" width="12.85546875" style="27" bestFit="1" customWidth="1"/>
    <col min="243" max="244" width="10.140625" style="27" bestFit="1" customWidth="1"/>
    <col min="245" max="245" width="22.42578125" style="27" bestFit="1" customWidth="1"/>
    <col min="246" max="246" width="14" style="27" customWidth="1"/>
    <col min="247" max="247" width="4.85546875" style="27" bestFit="1" customWidth="1"/>
    <col min="248" max="248" width="9.42578125" style="27" customWidth="1"/>
    <col min="249" max="249" width="12.42578125" style="27" bestFit="1" customWidth="1"/>
    <col min="250" max="250" width="7.85546875" style="27" bestFit="1" customWidth="1"/>
    <col min="251" max="251" width="5.85546875" style="27" bestFit="1" customWidth="1"/>
    <col min="252" max="252" width="6.140625" style="27" bestFit="1" customWidth="1"/>
    <col min="253" max="253" width="4.42578125" style="27" bestFit="1" customWidth="1"/>
    <col min="254" max="254" width="6.85546875" style="27" bestFit="1" customWidth="1"/>
    <col min="255" max="255" width="4.42578125" style="27" bestFit="1" customWidth="1"/>
    <col min="256" max="256" width="8.42578125" style="27" bestFit="1" customWidth="1"/>
    <col min="257" max="257" width="1.85546875" style="27" bestFit="1" customWidth="1"/>
    <col min="258" max="258" width="9.85546875" style="27" bestFit="1" customWidth="1"/>
    <col min="259" max="260" width="9.140625" style="27"/>
    <col min="261" max="261" width="20.42578125" style="27" bestFit="1" customWidth="1"/>
    <col min="262" max="262" width="9.85546875" style="27" bestFit="1" customWidth="1"/>
    <col min="263" max="495" width="9.140625" style="27"/>
    <col min="496" max="496" width="14.7109375" style="27" bestFit="1" customWidth="1"/>
    <col min="497" max="497" width="16" style="27" customWidth="1"/>
    <col min="498" max="498" width="12.85546875" style="27" bestFit="1" customWidth="1"/>
    <col min="499" max="500" width="10.140625" style="27" bestFit="1" customWidth="1"/>
    <col min="501" max="501" width="22.42578125" style="27" bestFit="1" customWidth="1"/>
    <col min="502" max="502" width="14" style="27" customWidth="1"/>
    <col min="503" max="503" width="4.85546875" style="27" bestFit="1" customWidth="1"/>
    <col min="504" max="504" width="9.42578125" style="27" customWidth="1"/>
    <col min="505" max="505" width="12.42578125" style="27" bestFit="1" customWidth="1"/>
    <col min="506" max="506" width="7.85546875" style="27" bestFit="1" customWidth="1"/>
    <col min="507" max="507" width="5.85546875" style="27" bestFit="1" customWidth="1"/>
    <col min="508" max="508" width="6.140625" style="27" bestFit="1" customWidth="1"/>
    <col min="509" max="509" width="4.42578125" style="27" bestFit="1" customWidth="1"/>
    <col min="510" max="510" width="6.85546875" style="27" bestFit="1" customWidth="1"/>
    <col min="511" max="511" width="4.42578125" style="27" bestFit="1" customWidth="1"/>
    <col min="512" max="512" width="8.42578125" style="27" bestFit="1" customWidth="1"/>
    <col min="513" max="513" width="1.85546875" style="27" bestFit="1" customWidth="1"/>
    <col min="514" max="514" width="9.85546875" style="27" bestFit="1" customWidth="1"/>
    <col min="515" max="516" width="9.140625" style="27"/>
    <col min="517" max="517" width="20.42578125" style="27" bestFit="1" customWidth="1"/>
    <col min="518" max="518" width="9.85546875" style="27" bestFit="1" customWidth="1"/>
    <col min="519" max="751" width="9.140625" style="27"/>
    <col min="752" max="752" width="14.7109375" style="27" bestFit="1" customWidth="1"/>
    <col min="753" max="753" width="16" style="27" customWidth="1"/>
    <col min="754" max="754" width="12.85546875" style="27" bestFit="1" customWidth="1"/>
    <col min="755" max="756" width="10.140625" style="27" bestFit="1" customWidth="1"/>
    <col min="757" max="757" width="22.42578125" style="27" bestFit="1" customWidth="1"/>
    <col min="758" max="758" width="14" style="27" customWidth="1"/>
    <col min="759" max="759" width="4.85546875" style="27" bestFit="1" customWidth="1"/>
    <col min="760" max="760" width="9.42578125" style="27" customWidth="1"/>
    <col min="761" max="761" width="12.42578125" style="27" bestFit="1" customWidth="1"/>
    <col min="762" max="762" width="7.85546875" style="27" bestFit="1" customWidth="1"/>
    <col min="763" max="763" width="5.85546875" style="27" bestFit="1" customWidth="1"/>
    <col min="764" max="764" width="6.140625" style="27" bestFit="1" customWidth="1"/>
    <col min="765" max="765" width="4.42578125" style="27" bestFit="1" customWidth="1"/>
    <col min="766" max="766" width="6.85546875" style="27" bestFit="1" customWidth="1"/>
    <col min="767" max="767" width="4.42578125" style="27" bestFit="1" customWidth="1"/>
    <col min="768" max="768" width="8.42578125" style="27" bestFit="1" customWidth="1"/>
    <col min="769" max="769" width="1.85546875" style="27" bestFit="1" customWidth="1"/>
    <col min="770" max="770" width="9.85546875" style="27" bestFit="1" customWidth="1"/>
    <col min="771" max="772" width="9.140625" style="27"/>
    <col min="773" max="773" width="20.42578125" style="27" bestFit="1" customWidth="1"/>
    <col min="774" max="774" width="9.85546875" style="27" bestFit="1" customWidth="1"/>
    <col min="775" max="1007" width="9.140625" style="27"/>
    <col min="1008" max="1008" width="14.7109375" style="27" bestFit="1" customWidth="1"/>
    <col min="1009" max="1009" width="16" style="27" customWidth="1"/>
    <col min="1010" max="1010" width="12.85546875" style="27" bestFit="1" customWidth="1"/>
    <col min="1011" max="1012" width="10.140625" style="27" bestFit="1" customWidth="1"/>
    <col min="1013" max="1013" width="22.42578125" style="27" bestFit="1" customWidth="1"/>
    <col min="1014" max="1014" width="14" style="27" customWidth="1"/>
    <col min="1015" max="1015" width="4.85546875" style="27" bestFit="1" customWidth="1"/>
    <col min="1016" max="1016" width="9.42578125" style="27" customWidth="1"/>
    <col min="1017" max="1017" width="12.42578125" style="27" bestFit="1" customWidth="1"/>
    <col min="1018" max="1018" width="7.85546875" style="27" bestFit="1" customWidth="1"/>
    <col min="1019" max="1019" width="5.85546875" style="27" bestFit="1" customWidth="1"/>
    <col min="1020" max="1020" width="6.140625" style="27" bestFit="1" customWidth="1"/>
    <col min="1021" max="1021" width="4.42578125" style="27" bestFit="1" customWidth="1"/>
    <col min="1022" max="1022" width="6.85546875" style="27" bestFit="1" customWidth="1"/>
    <col min="1023" max="1023" width="4.42578125" style="27" bestFit="1" customWidth="1"/>
    <col min="1024" max="1024" width="8.42578125" style="27" bestFit="1" customWidth="1"/>
    <col min="1025" max="1025" width="1.85546875" style="27" bestFit="1" customWidth="1"/>
    <col min="1026" max="1026" width="9.85546875" style="27" bestFit="1" customWidth="1"/>
    <col min="1027" max="1028" width="9.140625" style="27"/>
    <col min="1029" max="1029" width="20.42578125" style="27" bestFit="1" customWidth="1"/>
    <col min="1030" max="1030" width="9.85546875" style="27" bestFit="1" customWidth="1"/>
    <col min="1031" max="1263" width="9.140625" style="27"/>
    <col min="1264" max="1264" width="14.7109375" style="27" bestFit="1" customWidth="1"/>
    <col min="1265" max="1265" width="16" style="27" customWidth="1"/>
    <col min="1266" max="1266" width="12.85546875" style="27" bestFit="1" customWidth="1"/>
    <col min="1267" max="1268" width="10.140625" style="27" bestFit="1" customWidth="1"/>
    <col min="1269" max="1269" width="22.42578125" style="27" bestFit="1" customWidth="1"/>
    <col min="1270" max="1270" width="14" style="27" customWidth="1"/>
    <col min="1271" max="1271" width="4.85546875" style="27" bestFit="1" customWidth="1"/>
    <col min="1272" max="1272" width="9.42578125" style="27" customWidth="1"/>
    <col min="1273" max="1273" width="12.42578125" style="27" bestFit="1" customWidth="1"/>
    <col min="1274" max="1274" width="7.85546875" style="27" bestFit="1" customWidth="1"/>
    <col min="1275" max="1275" width="5.85546875" style="27" bestFit="1" customWidth="1"/>
    <col min="1276" max="1276" width="6.140625" style="27" bestFit="1" customWidth="1"/>
    <col min="1277" max="1277" width="4.42578125" style="27" bestFit="1" customWidth="1"/>
    <col min="1278" max="1278" width="6.85546875" style="27" bestFit="1" customWidth="1"/>
    <col min="1279" max="1279" width="4.42578125" style="27" bestFit="1" customWidth="1"/>
    <col min="1280" max="1280" width="8.42578125" style="27" bestFit="1" customWidth="1"/>
    <col min="1281" max="1281" width="1.85546875" style="27" bestFit="1" customWidth="1"/>
    <col min="1282" max="1282" width="9.85546875" style="27" bestFit="1" customWidth="1"/>
    <col min="1283" max="1284" width="9.140625" style="27"/>
    <col min="1285" max="1285" width="20.42578125" style="27" bestFit="1" customWidth="1"/>
    <col min="1286" max="1286" width="9.85546875" style="27" bestFit="1" customWidth="1"/>
    <col min="1287" max="1519" width="9.140625" style="27"/>
    <col min="1520" max="1520" width="14.7109375" style="27" bestFit="1" customWidth="1"/>
    <col min="1521" max="1521" width="16" style="27" customWidth="1"/>
    <col min="1522" max="1522" width="12.85546875" style="27" bestFit="1" customWidth="1"/>
    <col min="1523" max="1524" width="10.140625" style="27" bestFit="1" customWidth="1"/>
    <col min="1525" max="1525" width="22.42578125" style="27" bestFit="1" customWidth="1"/>
    <col min="1526" max="1526" width="14" style="27" customWidth="1"/>
    <col min="1527" max="1527" width="4.85546875" style="27" bestFit="1" customWidth="1"/>
    <col min="1528" max="1528" width="9.42578125" style="27" customWidth="1"/>
    <col min="1529" max="1529" width="12.42578125" style="27" bestFit="1" customWidth="1"/>
    <col min="1530" max="1530" width="7.85546875" style="27" bestFit="1" customWidth="1"/>
    <col min="1531" max="1531" width="5.85546875" style="27" bestFit="1" customWidth="1"/>
    <col min="1532" max="1532" width="6.140625" style="27" bestFit="1" customWidth="1"/>
    <col min="1533" max="1533" width="4.42578125" style="27" bestFit="1" customWidth="1"/>
    <col min="1534" max="1534" width="6.85546875" style="27" bestFit="1" customWidth="1"/>
    <col min="1535" max="1535" width="4.42578125" style="27" bestFit="1" customWidth="1"/>
    <col min="1536" max="1536" width="8.42578125" style="27" bestFit="1" customWidth="1"/>
    <col min="1537" max="1537" width="1.85546875" style="27" bestFit="1" customWidth="1"/>
    <col min="1538" max="1538" width="9.85546875" style="27" bestFit="1" customWidth="1"/>
    <col min="1539" max="1540" width="9.140625" style="27"/>
    <col min="1541" max="1541" width="20.42578125" style="27" bestFit="1" customWidth="1"/>
    <col min="1542" max="1542" width="9.85546875" style="27" bestFit="1" customWidth="1"/>
    <col min="1543" max="1775" width="9.140625" style="27"/>
    <col min="1776" max="1776" width="14.7109375" style="27" bestFit="1" customWidth="1"/>
    <col min="1777" max="1777" width="16" style="27" customWidth="1"/>
    <col min="1778" max="1778" width="12.85546875" style="27" bestFit="1" customWidth="1"/>
    <col min="1779" max="1780" width="10.140625" style="27" bestFit="1" customWidth="1"/>
    <col min="1781" max="1781" width="22.42578125" style="27" bestFit="1" customWidth="1"/>
    <col min="1782" max="1782" width="14" style="27" customWidth="1"/>
    <col min="1783" max="1783" width="4.85546875" style="27" bestFit="1" customWidth="1"/>
    <col min="1784" max="1784" width="9.42578125" style="27" customWidth="1"/>
    <col min="1785" max="1785" width="12.42578125" style="27" bestFit="1" customWidth="1"/>
    <col min="1786" max="1786" width="7.85546875" style="27" bestFit="1" customWidth="1"/>
    <col min="1787" max="1787" width="5.85546875" style="27" bestFit="1" customWidth="1"/>
    <col min="1788" max="1788" width="6.140625" style="27" bestFit="1" customWidth="1"/>
    <col min="1789" max="1789" width="4.42578125" style="27" bestFit="1" customWidth="1"/>
    <col min="1790" max="1790" width="6.85546875" style="27" bestFit="1" customWidth="1"/>
    <col min="1791" max="1791" width="4.42578125" style="27" bestFit="1" customWidth="1"/>
    <col min="1792" max="1792" width="8.42578125" style="27" bestFit="1" customWidth="1"/>
    <col min="1793" max="1793" width="1.85546875" style="27" bestFit="1" customWidth="1"/>
    <col min="1794" max="1794" width="9.85546875" style="27" bestFit="1" customWidth="1"/>
    <col min="1795" max="1796" width="9.140625" style="27"/>
    <col min="1797" max="1797" width="20.42578125" style="27" bestFit="1" customWidth="1"/>
    <col min="1798" max="1798" width="9.85546875" style="27" bestFit="1" customWidth="1"/>
    <col min="1799" max="2031" width="9.140625" style="27"/>
    <col min="2032" max="2032" width="14.7109375" style="27" bestFit="1" customWidth="1"/>
    <col min="2033" max="2033" width="16" style="27" customWidth="1"/>
    <col min="2034" max="2034" width="12.85546875" style="27" bestFit="1" customWidth="1"/>
    <col min="2035" max="2036" width="10.140625" style="27" bestFit="1" customWidth="1"/>
    <col min="2037" max="2037" width="22.42578125" style="27" bestFit="1" customWidth="1"/>
    <col min="2038" max="2038" width="14" style="27" customWidth="1"/>
    <col min="2039" max="2039" width="4.85546875" style="27" bestFit="1" customWidth="1"/>
    <col min="2040" max="2040" width="9.42578125" style="27" customWidth="1"/>
    <col min="2041" max="2041" width="12.42578125" style="27" bestFit="1" customWidth="1"/>
    <col min="2042" max="2042" width="7.85546875" style="27" bestFit="1" customWidth="1"/>
    <col min="2043" max="2043" width="5.85546875" style="27" bestFit="1" customWidth="1"/>
    <col min="2044" max="2044" width="6.140625" style="27" bestFit="1" customWidth="1"/>
    <col min="2045" max="2045" width="4.42578125" style="27" bestFit="1" customWidth="1"/>
    <col min="2046" max="2046" width="6.85546875" style="27" bestFit="1" customWidth="1"/>
    <col min="2047" max="2047" width="4.42578125" style="27" bestFit="1" customWidth="1"/>
    <col min="2048" max="2048" width="8.42578125" style="27" bestFit="1" customWidth="1"/>
    <col min="2049" max="2049" width="1.85546875" style="27" bestFit="1" customWidth="1"/>
    <col min="2050" max="2050" width="9.85546875" style="27" bestFit="1" customWidth="1"/>
    <col min="2051" max="2052" width="9.140625" style="27"/>
    <col min="2053" max="2053" width="20.42578125" style="27" bestFit="1" customWidth="1"/>
    <col min="2054" max="2054" width="9.85546875" style="27" bestFit="1" customWidth="1"/>
    <col min="2055" max="2287" width="9.140625" style="27"/>
    <col min="2288" max="2288" width="14.7109375" style="27" bestFit="1" customWidth="1"/>
    <col min="2289" max="2289" width="16" style="27" customWidth="1"/>
    <col min="2290" max="2290" width="12.85546875" style="27" bestFit="1" customWidth="1"/>
    <col min="2291" max="2292" width="10.140625" style="27" bestFit="1" customWidth="1"/>
    <col min="2293" max="2293" width="22.42578125" style="27" bestFit="1" customWidth="1"/>
    <col min="2294" max="2294" width="14" style="27" customWidth="1"/>
    <col min="2295" max="2295" width="4.85546875" style="27" bestFit="1" customWidth="1"/>
    <col min="2296" max="2296" width="9.42578125" style="27" customWidth="1"/>
    <col min="2297" max="2297" width="12.42578125" style="27" bestFit="1" customWidth="1"/>
    <col min="2298" max="2298" width="7.85546875" style="27" bestFit="1" customWidth="1"/>
    <col min="2299" max="2299" width="5.85546875" style="27" bestFit="1" customWidth="1"/>
    <col min="2300" max="2300" width="6.140625" style="27" bestFit="1" customWidth="1"/>
    <col min="2301" max="2301" width="4.42578125" style="27" bestFit="1" customWidth="1"/>
    <col min="2302" max="2302" width="6.85546875" style="27" bestFit="1" customWidth="1"/>
    <col min="2303" max="2303" width="4.42578125" style="27" bestFit="1" customWidth="1"/>
    <col min="2304" max="2304" width="8.42578125" style="27" bestFit="1" customWidth="1"/>
    <col min="2305" max="2305" width="1.85546875" style="27" bestFit="1" customWidth="1"/>
    <col min="2306" max="2306" width="9.85546875" style="27" bestFit="1" customWidth="1"/>
    <col min="2307" max="2308" width="9.140625" style="27"/>
    <col min="2309" max="2309" width="20.42578125" style="27" bestFit="1" customWidth="1"/>
    <col min="2310" max="2310" width="9.85546875" style="27" bestFit="1" customWidth="1"/>
    <col min="2311" max="2543" width="9.140625" style="27"/>
    <col min="2544" max="2544" width="14.7109375" style="27" bestFit="1" customWidth="1"/>
    <col min="2545" max="2545" width="16" style="27" customWidth="1"/>
    <col min="2546" max="2546" width="12.85546875" style="27" bestFit="1" customWidth="1"/>
    <col min="2547" max="2548" width="10.140625" style="27" bestFit="1" customWidth="1"/>
    <col min="2549" max="2549" width="22.42578125" style="27" bestFit="1" customWidth="1"/>
    <col min="2550" max="2550" width="14" style="27" customWidth="1"/>
    <col min="2551" max="2551" width="4.85546875" style="27" bestFit="1" customWidth="1"/>
    <col min="2552" max="2552" width="9.42578125" style="27" customWidth="1"/>
    <col min="2553" max="2553" width="12.42578125" style="27" bestFit="1" customWidth="1"/>
    <col min="2554" max="2554" width="7.85546875" style="27" bestFit="1" customWidth="1"/>
    <col min="2555" max="2555" width="5.85546875" style="27" bestFit="1" customWidth="1"/>
    <col min="2556" max="2556" width="6.140625" style="27" bestFit="1" customWidth="1"/>
    <col min="2557" max="2557" width="4.42578125" style="27" bestFit="1" customWidth="1"/>
    <col min="2558" max="2558" width="6.85546875" style="27" bestFit="1" customWidth="1"/>
    <col min="2559" max="2559" width="4.42578125" style="27" bestFit="1" customWidth="1"/>
    <col min="2560" max="2560" width="8.42578125" style="27" bestFit="1" customWidth="1"/>
    <col min="2561" max="2561" width="1.85546875" style="27" bestFit="1" customWidth="1"/>
    <col min="2562" max="2562" width="9.85546875" style="27" bestFit="1" customWidth="1"/>
    <col min="2563" max="2564" width="9.140625" style="27"/>
    <col min="2565" max="2565" width="20.42578125" style="27" bestFit="1" customWidth="1"/>
    <col min="2566" max="2566" width="9.85546875" style="27" bestFit="1" customWidth="1"/>
    <col min="2567" max="2799" width="9.140625" style="27"/>
    <col min="2800" max="2800" width="14.7109375" style="27" bestFit="1" customWidth="1"/>
    <col min="2801" max="2801" width="16" style="27" customWidth="1"/>
    <col min="2802" max="2802" width="12.85546875" style="27" bestFit="1" customWidth="1"/>
    <col min="2803" max="2804" width="10.140625" style="27" bestFit="1" customWidth="1"/>
    <col min="2805" max="2805" width="22.42578125" style="27" bestFit="1" customWidth="1"/>
    <col min="2806" max="2806" width="14" style="27" customWidth="1"/>
    <col min="2807" max="2807" width="4.85546875" style="27" bestFit="1" customWidth="1"/>
    <col min="2808" max="2808" width="9.42578125" style="27" customWidth="1"/>
    <col min="2809" max="2809" width="12.42578125" style="27" bestFit="1" customWidth="1"/>
    <col min="2810" max="2810" width="7.85546875" style="27" bestFit="1" customWidth="1"/>
    <col min="2811" max="2811" width="5.85546875" style="27" bestFit="1" customWidth="1"/>
    <col min="2812" max="2812" width="6.140625" style="27" bestFit="1" customWidth="1"/>
    <col min="2813" max="2813" width="4.42578125" style="27" bestFit="1" customWidth="1"/>
    <col min="2814" max="2814" width="6.85546875" style="27" bestFit="1" customWidth="1"/>
    <col min="2815" max="2815" width="4.42578125" style="27" bestFit="1" customWidth="1"/>
    <col min="2816" max="2816" width="8.42578125" style="27" bestFit="1" customWidth="1"/>
    <col min="2817" max="2817" width="1.85546875" style="27" bestFit="1" customWidth="1"/>
    <col min="2818" max="2818" width="9.85546875" style="27" bestFit="1" customWidth="1"/>
    <col min="2819" max="2820" width="9.140625" style="27"/>
    <col min="2821" max="2821" width="20.42578125" style="27" bestFit="1" customWidth="1"/>
    <col min="2822" max="2822" width="9.85546875" style="27" bestFit="1" customWidth="1"/>
    <col min="2823" max="3055" width="9.140625" style="27"/>
    <col min="3056" max="3056" width="14.7109375" style="27" bestFit="1" customWidth="1"/>
    <col min="3057" max="3057" width="16" style="27" customWidth="1"/>
    <col min="3058" max="3058" width="12.85546875" style="27" bestFit="1" customWidth="1"/>
    <col min="3059" max="3060" width="10.140625" style="27" bestFit="1" customWidth="1"/>
    <col min="3061" max="3061" width="22.42578125" style="27" bestFit="1" customWidth="1"/>
    <col min="3062" max="3062" width="14" style="27" customWidth="1"/>
    <col min="3063" max="3063" width="4.85546875" style="27" bestFit="1" customWidth="1"/>
    <col min="3064" max="3064" width="9.42578125" style="27" customWidth="1"/>
    <col min="3065" max="3065" width="12.42578125" style="27" bestFit="1" customWidth="1"/>
    <col min="3066" max="3066" width="7.85546875" style="27" bestFit="1" customWidth="1"/>
    <col min="3067" max="3067" width="5.85546875" style="27" bestFit="1" customWidth="1"/>
    <col min="3068" max="3068" width="6.140625" style="27" bestFit="1" customWidth="1"/>
    <col min="3069" max="3069" width="4.42578125" style="27" bestFit="1" customWidth="1"/>
    <col min="3070" max="3070" width="6.85546875" style="27" bestFit="1" customWidth="1"/>
    <col min="3071" max="3071" width="4.42578125" style="27" bestFit="1" customWidth="1"/>
    <col min="3072" max="3072" width="8.42578125" style="27" bestFit="1" customWidth="1"/>
    <col min="3073" max="3073" width="1.85546875" style="27" bestFit="1" customWidth="1"/>
    <col min="3074" max="3074" width="9.85546875" style="27" bestFit="1" customWidth="1"/>
    <col min="3075" max="3076" width="9.140625" style="27"/>
    <col min="3077" max="3077" width="20.42578125" style="27" bestFit="1" customWidth="1"/>
    <col min="3078" max="3078" width="9.85546875" style="27" bestFit="1" customWidth="1"/>
    <col min="3079" max="3311" width="9.140625" style="27"/>
    <col min="3312" max="3312" width="14.7109375" style="27" bestFit="1" customWidth="1"/>
    <col min="3313" max="3313" width="16" style="27" customWidth="1"/>
    <col min="3314" max="3314" width="12.85546875" style="27" bestFit="1" customWidth="1"/>
    <col min="3315" max="3316" width="10.140625" style="27" bestFit="1" customWidth="1"/>
    <col min="3317" max="3317" width="22.42578125" style="27" bestFit="1" customWidth="1"/>
    <col min="3318" max="3318" width="14" style="27" customWidth="1"/>
    <col min="3319" max="3319" width="4.85546875" style="27" bestFit="1" customWidth="1"/>
    <col min="3320" max="3320" width="9.42578125" style="27" customWidth="1"/>
    <col min="3321" max="3321" width="12.42578125" style="27" bestFit="1" customWidth="1"/>
    <col min="3322" max="3322" width="7.85546875" style="27" bestFit="1" customWidth="1"/>
    <col min="3323" max="3323" width="5.85546875" style="27" bestFit="1" customWidth="1"/>
    <col min="3324" max="3324" width="6.140625" style="27" bestFit="1" customWidth="1"/>
    <col min="3325" max="3325" width="4.42578125" style="27" bestFit="1" customWidth="1"/>
    <col min="3326" max="3326" width="6.85546875" style="27" bestFit="1" customWidth="1"/>
    <col min="3327" max="3327" width="4.42578125" style="27" bestFit="1" customWidth="1"/>
    <col min="3328" max="3328" width="8.42578125" style="27" bestFit="1" customWidth="1"/>
    <col min="3329" max="3329" width="1.85546875" style="27" bestFit="1" customWidth="1"/>
    <col min="3330" max="3330" width="9.85546875" style="27" bestFit="1" customWidth="1"/>
    <col min="3331" max="3332" width="9.140625" style="27"/>
    <col min="3333" max="3333" width="20.42578125" style="27" bestFit="1" customWidth="1"/>
    <col min="3334" max="3334" width="9.85546875" style="27" bestFit="1" customWidth="1"/>
    <col min="3335" max="3567" width="9.140625" style="27"/>
    <col min="3568" max="3568" width="14.7109375" style="27" bestFit="1" customWidth="1"/>
    <col min="3569" max="3569" width="16" style="27" customWidth="1"/>
    <col min="3570" max="3570" width="12.85546875" style="27" bestFit="1" customWidth="1"/>
    <col min="3571" max="3572" width="10.140625" style="27" bestFit="1" customWidth="1"/>
    <col min="3573" max="3573" width="22.42578125" style="27" bestFit="1" customWidth="1"/>
    <col min="3574" max="3574" width="14" style="27" customWidth="1"/>
    <col min="3575" max="3575" width="4.85546875" style="27" bestFit="1" customWidth="1"/>
    <col min="3576" max="3576" width="9.42578125" style="27" customWidth="1"/>
    <col min="3577" max="3577" width="12.42578125" style="27" bestFit="1" customWidth="1"/>
    <col min="3578" max="3578" width="7.85546875" style="27" bestFit="1" customWidth="1"/>
    <col min="3579" max="3579" width="5.85546875" style="27" bestFit="1" customWidth="1"/>
    <col min="3580" max="3580" width="6.140625" style="27" bestFit="1" customWidth="1"/>
    <col min="3581" max="3581" width="4.42578125" style="27" bestFit="1" customWidth="1"/>
    <col min="3582" max="3582" width="6.85546875" style="27" bestFit="1" customWidth="1"/>
    <col min="3583" max="3583" width="4.42578125" style="27" bestFit="1" customWidth="1"/>
    <col min="3584" max="3584" width="8.42578125" style="27" bestFit="1" customWidth="1"/>
    <col min="3585" max="3585" width="1.85546875" style="27" bestFit="1" customWidth="1"/>
    <col min="3586" max="3586" width="9.85546875" style="27" bestFit="1" customWidth="1"/>
    <col min="3587" max="3588" width="9.140625" style="27"/>
    <col min="3589" max="3589" width="20.42578125" style="27" bestFit="1" customWidth="1"/>
    <col min="3590" max="3590" width="9.85546875" style="27" bestFit="1" customWidth="1"/>
    <col min="3591" max="3823" width="9.140625" style="27"/>
    <col min="3824" max="3824" width="14.7109375" style="27" bestFit="1" customWidth="1"/>
    <col min="3825" max="3825" width="16" style="27" customWidth="1"/>
    <col min="3826" max="3826" width="12.85546875" style="27" bestFit="1" customWidth="1"/>
    <col min="3827" max="3828" width="10.140625" style="27" bestFit="1" customWidth="1"/>
    <col min="3829" max="3829" width="22.42578125" style="27" bestFit="1" customWidth="1"/>
    <col min="3830" max="3830" width="14" style="27" customWidth="1"/>
    <col min="3831" max="3831" width="4.85546875" style="27" bestFit="1" customWidth="1"/>
    <col min="3832" max="3832" width="9.42578125" style="27" customWidth="1"/>
    <col min="3833" max="3833" width="12.42578125" style="27" bestFit="1" customWidth="1"/>
    <col min="3834" max="3834" width="7.85546875" style="27" bestFit="1" customWidth="1"/>
    <col min="3835" max="3835" width="5.85546875" style="27" bestFit="1" customWidth="1"/>
    <col min="3836" max="3836" width="6.140625" style="27" bestFit="1" customWidth="1"/>
    <col min="3837" max="3837" width="4.42578125" style="27" bestFit="1" customWidth="1"/>
    <col min="3838" max="3838" width="6.85546875" style="27" bestFit="1" customWidth="1"/>
    <col min="3839" max="3839" width="4.42578125" style="27" bestFit="1" customWidth="1"/>
    <col min="3840" max="3840" width="8.42578125" style="27" bestFit="1" customWidth="1"/>
    <col min="3841" max="3841" width="1.85546875" style="27" bestFit="1" customWidth="1"/>
    <col min="3842" max="3842" width="9.85546875" style="27" bestFit="1" customWidth="1"/>
    <col min="3843" max="3844" width="9.140625" style="27"/>
    <col min="3845" max="3845" width="20.42578125" style="27" bestFit="1" customWidth="1"/>
    <col min="3846" max="3846" width="9.85546875" style="27" bestFit="1" customWidth="1"/>
    <col min="3847" max="4079" width="9.140625" style="27"/>
    <col min="4080" max="4080" width="14.7109375" style="27" bestFit="1" customWidth="1"/>
    <col min="4081" max="4081" width="16" style="27" customWidth="1"/>
    <col min="4082" max="4082" width="12.85546875" style="27" bestFit="1" customWidth="1"/>
    <col min="4083" max="4084" width="10.140625" style="27" bestFit="1" customWidth="1"/>
    <col min="4085" max="4085" width="22.42578125" style="27" bestFit="1" customWidth="1"/>
    <col min="4086" max="4086" width="14" style="27" customWidth="1"/>
    <col min="4087" max="4087" width="4.85546875" style="27" bestFit="1" customWidth="1"/>
    <col min="4088" max="4088" width="9.42578125" style="27" customWidth="1"/>
    <col min="4089" max="4089" width="12.42578125" style="27" bestFit="1" customWidth="1"/>
    <col min="4090" max="4090" width="7.85546875" style="27" bestFit="1" customWidth="1"/>
    <col min="4091" max="4091" width="5.85546875" style="27" bestFit="1" customWidth="1"/>
    <col min="4092" max="4092" width="6.140625" style="27" bestFit="1" customWidth="1"/>
    <col min="4093" max="4093" width="4.42578125" style="27" bestFit="1" customWidth="1"/>
    <col min="4094" max="4094" width="6.85546875" style="27" bestFit="1" customWidth="1"/>
    <col min="4095" max="4095" width="4.42578125" style="27" bestFit="1" customWidth="1"/>
    <col min="4096" max="4096" width="8.42578125" style="27" bestFit="1" customWidth="1"/>
    <col min="4097" max="4097" width="1.85546875" style="27" bestFit="1" customWidth="1"/>
    <col min="4098" max="4098" width="9.85546875" style="27" bestFit="1" customWidth="1"/>
    <col min="4099" max="4100" width="9.140625" style="27"/>
    <col min="4101" max="4101" width="20.42578125" style="27" bestFit="1" customWidth="1"/>
    <col min="4102" max="4102" width="9.85546875" style="27" bestFit="1" customWidth="1"/>
    <col min="4103" max="4335" width="9.140625" style="27"/>
    <col min="4336" max="4336" width="14.7109375" style="27" bestFit="1" customWidth="1"/>
    <col min="4337" max="4337" width="16" style="27" customWidth="1"/>
    <col min="4338" max="4338" width="12.85546875" style="27" bestFit="1" customWidth="1"/>
    <col min="4339" max="4340" width="10.140625" style="27" bestFit="1" customWidth="1"/>
    <col min="4341" max="4341" width="22.42578125" style="27" bestFit="1" customWidth="1"/>
    <col min="4342" max="4342" width="14" style="27" customWidth="1"/>
    <col min="4343" max="4343" width="4.85546875" style="27" bestFit="1" customWidth="1"/>
    <col min="4344" max="4344" width="9.42578125" style="27" customWidth="1"/>
    <col min="4345" max="4345" width="12.42578125" style="27" bestFit="1" customWidth="1"/>
    <col min="4346" max="4346" width="7.85546875" style="27" bestFit="1" customWidth="1"/>
    <col min="4347" max="4347" width="5.85546875" style="27" bestFit="1" customWidth="1"/>
    <col min="4348" max="4348" width="6.140625" style="27" bestFit="1" customWidth="1"/>
    <col min="4349" max="4349" width="4.42578125" style="27" bestFit="1" customWidth="1"/>
    <col min="4350" max="4350" width="6.85546875" style="27" bestFit="1" customWidth="1"/>
    <col min="4351" max="4351" width="4.42578125" style="27" bestFit="1" customWidth="1"/>
    <col min="4352" max="4352" width="8.42578125" style="27" bestFit="1" customWidth="1"/>
    <col min="4353" max="4353" width="1.85546875" style="27" bestFit="1" customWidth="1"/>
    <col min="4354" max="4354" width="9.85546875" style="27" bestFit="1" customWidth="1"/>
    <col min="4355" max="4356" width="9.140625" style="27"/>
    <col min="4357" max="4357" width="20.42578125" style="27" bestFit="1" customWidth="1"/>
    <col min="4358" max="4358" width="9.85546875" style="27" bestFit="1" customWidth="1"/>
    <col min="4359" max="4591" width="9.140625" style="27"/>
    <col min="4592" max="4592" width="14.7109375" style="27" bestFit="1" customWidth="1"/>
    <col min="4593" max="4593" width="16" style="27" customWidth="1"/>
    <col min="4594" max="4594" width="12.85546875" style="27" bestFit="1" customWidth="1"/>
    <col min="4595" max="4596" width="10.140625" style="27" bestFit="1" customWidth="1"/>
    <col min="4597" max="4597" width="22.42578125" style="27" bestFit="1" customWidth="1"/>
    <col min="4598" max="4598" width="14" style="27" customWidth="1"/>
    <col min="4599" max="4599" width="4.85546875" style="27" bestFit="1" customWidth="1"/>
    <col min="4600" max="4600" width="9.42578125" style="27" customWidth="1"/>
    <col min="4601" max="4601" width="12.42578125" style="27" bestFit="1" customWidth="1"/>
    <col min="4602" max="4602" width="7.85546875" style="27" bestFit="1" customWidth="1"/>
    <col min="4603" max="4603" width="5.85546875" style="27" bestFit="1" customWidth="1"/>
    <col min="4604" max="4604" width="6.140625" style="27" bestFit="1" customWidth="1"/>
    <col min="4605" max="4605" width="4.42578125" style="27" bestFit="1" customWidth="1"/>
    <col min="4606" max="4606" width="6.85546875" style="27" bestFit="1" customWidth="1"/>
    <col min="4607" max="4607" width="4.42578125" style="27" bestFit="1" customWidth="1"/>
    <col min="4608" max="4608" width="8.42578125" style="27" bestFit="1" customWidth="1"/>
    <col min="4609" max="4609" width="1.85546875" style="27" bestFit="1" customWidth="1"/>
    <col min="4610" max="4610" width="9.85546875" style="27" bestFit="1" customWidth="1"/>
    <col min="4611" max="4612" width="9.140625" style="27"/>
    <col min="4613" max="4613" width="20.42578125" style="27" bestFit="1" customWidth="1"/>
    <col min="4614" max="4614" width="9.85546875" style="27" bestFit="1" customWidth="1"/>
    <col min="4615" max="4847" width="9.140625" style="27"/>
    <col min="4848" max="4848" width="14.7109375" style="27" bestFit="1" customWidth="1"/>
    <col min="4849" max="4849" width="16" style="27" customWidth="1"/>
    <col min="4850" max="4850" width="12.85546875" style="27" bestFit="1" customWidth="1"/>
    <col min="4851" max="4852" width="10.140625" style="27" bestFit="1" customWidth="1"/>
    <col min="4853" max="4853" width="22.42578125" style="27" bestFit="1" customWidth="1"/>
    <col min="4854" max="4854" width="14" style="27" customWidth="1"/>
    <col min="4855" max="4855" width="4.85546875" style="27" bestFit="1" customWidth="1"/>
    <col min="4856" max="4856" width="9.42578125" style="27" customWidth="1"/>
    <col min="4857" max="4857" width="12.42578125" style="27" bestFit="1" customWidth="1"/>
    <col min="4858" max="4858" width="7.85546875" style="27" bestFit="1" customWidth="1"/>
    <col min="4859" max="4859" width="5.85546875" style="27" bestFit="1" customWidth="1"/>
    <col min="4860" max="4860" width="6.140625" style="27" bestFit="1" customWidth="1"/>
    <col min="4861" max="4861" width="4.42578125" style="27" bestFit="1" customWidth="1"/>
    <col min="4862" max="4862" width="6.85546875" style="27" bestFit="1" customWidth="1"/>
    <col min="4863" max="4863" width="4.42578125" style="27" bestFit="1" customWidth="1"/>
    <col min="4864" max="4864" width="8.42578125" style="27" bestFit="1" customWidth="1"/>
    <col min="4865" max="4865" width="1.85546875" style="27" bestFit="1" customWidth="1"/>
    <col min="4866" max="4866" width="9.85546875" style="27" bestFit="1" customWidth="1"/>
    <col min="4867" max="4868" width="9.140625" style="27"/>
    <col min="4869" max="4869" width="20.42578125" style="27" bestFit="1" customWidth="1"/>
    <col min="4870" max="4870" width="9.85546875" style="27" bestFit="1" customWidth="1"/>
    <col min="4871" max="5103" width="9.140625" style="27"/>
    <col min="5104" max="5104" width="14.7109375" style="27" bestFit="1" customWidth="1"/>
    <col min="5105" max="5105" width="16" style="27" customWidth="1"/>
    <col min="5106" max="5106" width="12.85546875" style="27" bestFit="1" customWidth="1"/>
    <col min="5107" max="5108" width="10.140625" style="27" bestFit="1" customWidth="1"/>
    <col min="5109" max="5109" width="22.42578125" style="27" bestFit="1" customWidth="1"/>
    <col min="5110" max="5110" width="14" style="27" customWidth="1"/>
    <col min="5111" max="5111" width="4.85546875" style="27" bestFit="1" customWidth="1"/>
    <col min="5112" max="5112" width="9.42578125" style="27" customWidth="1"/>
    <col min="5113" max="5113" width="12.42578125" style="27" bestFit="1" customWidth="1"/>
    <col min="5114" max="5114" width="7.85546875" style="27" bestFit="1" customWidth="1"/>
    <col min="5115" max="5115" width="5.85546875" style="27" bestFit="1" customWidth="1"/>
    <col min="5116" max="5116" width="6.140625" style="27" bestFit="1" customWidth="1"/>
    <col min="5117" max="5117" width="4.42578125" style="27" bestFit="1" customWidth="1"/>
    <col min="5118" max="5118" width="6.85546875" style="27" bestFit="1" customWidth="1"/>
    <col min="5119" max="5119" width="4.42578125" style="27" bestFit="1" customWidth="1"/>
    <col min="5120" max="5120" width="8.42578125" style="27" bestFit="1" customWidth="1"/>
    <col min="5121" max="5121" width="1.85546875" style="27" bestFit="1" customWidth="1"/>
    <col min="5122" max="5122" width="9.85546875" style="27" bestFit="1" customWidth="1"/>
    <col min="5123" max="5124" width="9.140625" style="27"/>
    <col min="5125" max="5125" width="20.42578125" style="27" bestFit="1" customWidth="1"/>
    <col min="5126" max="5126" width="9.85546875" style="27" bestFit="1" customWidth="1"/>
    <col min="5127" max="5359" width="9.140625" style="27"/>
    <col min="5360" max="5360" width="14.7109375" style="27" bestFit="1" customWidth="1"/>
    <col min="5361" max="5361" width="16" style="27" customWidth="1"/>
    <col min="5362" max="5362" width="12.85546875" style="27" bestFit="1" customWidth="1"/>
    <col min="5363" max="5364" width="10.140625" style="27" bestFit="1" customWidth="1"/>
    <col min="5365" max="5365" width="22.42578125" style="27" bestFit="1" customWidth="1"/>
    <col min="5366" max="5366" width="14" style="27" customWidth="1"/>
    <col min="5367" max="5367" width="4.85546875" style="27" bestFit="1" customWidth="1"/>
    <col min="5368" max="5368" width="9.42578125" style="27" customWidth="1"/>
    <col min="5369" max="5369" width="12.42578125" style="27" bestFit="1" customWidth="1"/>
    <col min="5370" max="5370" width="7.85546875" style="27" bestFit="1" customWidth="1"/>
    <col min="5371" max="5371" width="5.85546875" style="27" bestFit="1" customWidth="1"/>
    <col min="5372" max="5372" width="6.140625" style="27" bestFit="1" customWidth="1"/>
    <col min="5373" max="5373" width="4.42578125" style="27" bestFit="1" customWidth="1"/>
    <col min="5374" max="5374" width="6.85546875" style="27" bestFit="1" customWidth="1"/>
    <col min="5375" max="5375" width="4.42578125" style="27" bestFit="1" customWidth="1"/>
    <col min="5376" max="5376" width="8.42578125" style="27" bestFit="1" customWidth="1"/>
    <col min="5377" max="5377" width="1.85546875" style="27" bestFit="1" customWidth="1"/>
    <col min="5378" max="5378" width="9.85546875" style="27" bestFit="1" customWidth="1"/>
    <col min="5379" max="5380" width="9.140625" style="27"/>
    <col min="5381" max="5381" width="20.42578125" style="27" bestFit="1" customWidth="1"/>
    <col min="5382" max="5382" width="9.85546875" style="27" bestFit="1" customWidth="1"/>
    <col min="5383" max="5615" width="9.140625" style="27"/>
    <col min="5616" max="5616" width="14.7109375" style="27" bestFit="1" customWidth="1"/>
    <col min="5617" max="5617" width="16" style="27" customWidth="1"/>
    <col min="5618" max="5618" width="12.85546875" style="27" bestFit="1" customWidth="1"/>
    <col min="5619" max="5620" width="10.140625" style="27" bestFit="1" customWidth="1"/>
    <col min="5621" max="5621" width="22.42578125" style="27" bestFit="1" customWidth="1"/>
    <col min="5622" max="5622" width="14" style="27" customWidth="1"/>
    <col min="5623" max="5623" width="4.85546875" style="27" bestFit="1" customWidth="1"/>
    <col min="5624" max="5624" width="9.42578125" style="27" customWidth="1"/>
    <col min="5625" max="5625" width="12.42578125" style="27" bestFit="1" customWidth="1"/>
    <col min="5626" max="5626" width="7.85546875" style="27" bestFit="1" customWidth="1"/>
    <col min="5627" max="5627" width="5.85546875" style="27" bestFit="1" customWidth="1"/>
    <col min="5628" max="5628" width="6.140625" style="27" bestFit="1" customWidth="1"/>
    <col min="5629" max="5629" width="4.42578125" style="27" bestFit="1" customWidth="1"/>
    <col min="5630" max="5630" width="6.85546875" style="27" bestFit="1" customWidth="1"/>
    <col min="5631" max="5631" width="4.42578125" style="27" bestFit="1" customWidth="1"/>
    <col min="5632" max="5632" width="8.42578125" style="27" bestFit="1" customWidth="1"/>
    <col min="5633" max="5633" width="1.85546875" style="27" bestFit="1" customWidth="1"/>
    <col min="5634" max="5634" width="9.85546875" style="27" bestFit="1" customWidth="1"/>
    <col min="5635" max="5636" width="9.140625" style="27"/>
    <col min="5637" max="5637" width="20.42578125" style="27" bestFit="1" customWidth="1"/>
    <col min="5638" max="5638" width="9.85546875" style="27" bestFit="1" customWidth="1"/>
    <col min="5639" max="5871" width="9.140625" style="27"/>
    <col min="5872" max="5872" width="14.7109375" style="27" bestFit="1" customWidth="1"/>
    <col min="5873" max="5873" width="16" style="27" customWidth="1"/>
    <col min="5874" max="5874" width="12.85546875" style="27" bestFit="1" customWidth="1"/>
    <col min="5875" max="5876" width="10.140625" style="27" bestFit="1" customWidth="1"/>
    <col min="5877" max="5877" width="22.42578125" style="27" bestFit="1" customWidth="1"/>
    <col min="5878" max="5878" width="14" style="27" customWidth="1"/>
    <col min="5879" max="5879" width="4.85546875" style="27" bestFit="1" customWidth="1"/>
    <col min="5880" max="5880" width="9.42578125" style="27" customWidth="1"/>
    <col min="5881" max="5881" width="12.42578125" style="27" bestFit="1" customWidth="1"/>
    <col min="5882" max="5882" width="7.85546875" style="27" bestFit="1" customWidth="1"/>
    <col min="5883" max="5883" width="5.85546875" style="27" bestFit="1" customWidth="1"/>
    <col min="5884" max="5884" width="6.140625" style="27" bestFit="1" customWidth="1"/>
    <col min="5885" max="5885" width="4.42578125" style="27" bestFit="1" customWidth="1"/>
    <col min="5886" max="5886" width="6.85546875" style="27" bestFit="1" customWidth="1"/>
    <col min="5887" max="5887" width="4.42578125" style="27" bestFit="1" customWidth="1"/>
    <col min="5888" max="5888" width="8.42578125" style="27" bestFit="1" customWidth="1"/>
    <col min="5889" max="5889" width="1.85546875" style="27" bestFit="1" customWidth="1"/>
    <col min="5890" max="5890" width="9.85546875" style="27" bestFit="1" customWidth="1"/>
    <col min="5891" max="5892" width="9.140625" style="27"/>
    <col min="5893" max="5893" width="20.42578125" style="27" bestFit="1" customWidth="1"/>
    <col min="5894" max="5894" width="9.85546875" style="27" bestFit="1" customWidth="1"/>
    <col min="5895" max="6127" width="9.140625" style="27"/>
    <col min="6128" max="6128" width="14.7109375" style="27" bestFit="1" customWidth="1"/>
    <col min="6129" max="6129" width="16" style="27" customWidth="1"/>
    <col min="6130" max="6130" width="12.85546875" style="27" bestFit="1" customWidth="1"/>
    <col min="6131" max="6132" width="10.140625" style="27" bestFit="1" customWidth="1"/>
    <col min="6133" max="6133" width="22.42578125" style="27" bestFit="1" customWidth="1"/>
    <col min="6134" max="6134" width="14" style="27" customWidth="1"/>
    <col min="6135" max="6135" width="4.85546875" style="27" bestFit="1" customWidth="1"/>
    <col min="6136" max="6136" width="9.42578125" style="27" customWidth="1"/>
    <col min="6137" max="6137" width="12.42578125" style="27" bestFit="1" customWidth="1"/>
    <col min="6138" max="6138" width="7.85546875" style="27" bestFit="1" customWidth="1"/>
    <col min="6139" max="6139" width="5.85546875" style="27" bestFit="1" customWidth="1"/>
    <col min="6140" max="6140" width="6.140625" style="27" bestFit="1" customWidth="1"/>
    <col min="6141" max="6141" width="4.42578125" style="27" bestFit="1" customWidth="1"/>
    <col min="6142" max="6142" width="6.85546875" style="27" bestFit="1" customWidth="1"/>
    <col min="6143" max="6143" width="4.42578125" style="27" bestFit="1" customWidth="1"/>
    <col min="6144" max="6144" width="8.42578125" style="27" bestFit="1" customWidth="1"/>
    <col min="6145" max="6145" width="1.85546875" style="27" bestFit="1" customWidth="1"/>
    <col min="6146" max="6146" width="9.85546875" style="27" bestFit="1" customWidth="1"/>
    <col min="6147" max="6148" width="9.140625" style="27"/>
    <col min="6149" max="6149" width="20.42578125" style="27" bestFit="1" customWidth="1"/>
    <col min="6150" max="6150" width="9.85546875" style="27" bestFit="1" customWidth="1"/>
    <col min="6151" max="6383" width="9.140625" style="27"/>
    <col min="6384" max="6384" width="14.7109375" style="27" bestFit="1" customWidth="1"/>
    <col min="6385" max="6385" width="16" style="27" customWidth="1"/>
    <col min="6386" max="6386" width="12.85546875" style="27" bestFit="1" customWidth="1"/>
    <col min="6387" max="6388" width="10.140625" style="27" bestFit="1" customWidth="1"/>
    <col min="6389" max="6389" width="22.42578125" style="27" bestFit="1" customWidth="1"/>
    <col min="6390" max="6390" width="14" style="27" customWidth="1"/>
    <col min="6391" max="6391" width="4.85546875" style="27" bestFit="1" customWidth="1"/>
    <col min="6392" max="6392" width="9.42578125" style="27" customWidth="1"/>
    <col min="6393" max="6393" width="12.42578125" style="27" bestFit="1" customWidth="1"/>
    <col min="6394" max="6394" width="7.85546875" style="27" bestFit="1" customWidth="1"/>
    <col min="6395" max="6395" width="5.85546875" style="27" bestFit="1" customWidth="1"/>
    <col min="6396" max="6396" width="6.140625" style="27" bestFit="1" customWidth="1"/>
    <col min="6397" max="6397" width="4.42578125" style="27" bestFit="1" customWidth="1"/>
    <col min="6398" max="6398" width="6.85546875" style="27" bestFit="1" customWidth="1"/>
    <col min="6399" max="6399" width="4.42578125" style="27" bestFit="1" customWidth="1"/>
    <col min="6400" max="6400" width="8.42578125" style="27" bestFit="1" customWidth="1"/>
    <col min="6401" max="6401" width="1.85546875" style="27" bestFit="1" customWidth="1"/>
    <col min="6402" max="6402" width="9.85546875" style="27" bestFit="1" customWidth="1"/>
    <col min="6403" max="6404" width="9.140625" style="27"/>
    <col min="6405" max="6405" width="20.42578125" style="27" bestFit="1" customWidth="1"/>
    <col min="6406" max="6406" width="9.85546875" style="27" bestFit="1" customWidth="1"/>
    <col min="6407" max="6639" width="9.140625" style="27"/>
    <col min="6640" max="6640" width="14.7109375" style="27" bestFit="1" customWidth="1"/>
    <col min="6641" max="6641" width="16" style="27" customWidth="1"/>
    <col min="6642" max="6642" width="12.85546875" style="27" bestFit="1" customWidth="1"/>
    <col min="6643" max="6644" width="10.140625" style="27" bestFit="1" customWidth="1"/>
    <col min="6645" max="6645" width="22.42578125" style="27" bestFit="1" customWidth="1"/>
    <col min="6646" max="6646" width="14" style="27" customWidth="1"/>
    <col min="6647" max="6647" width="4.85546875" style="27" bestFit="1" customWidth="1"/>
    <col min="6648" max="6648" width="9.42578125" style="27" customWidth="1"/>
    <col min="6649" max="6649" width="12.42578125" style="27" bestFit="1" customWidth="1"/>
    <col min="6650" max="6650" width="7.85546875" style="27" bestFit="1" customWidth="1"/>
    <col min="6651" max="6651" width="5.85546875" style="27" bestFit="1" customWidth="1"/>
    <col min="6652" max="6652" width="6.140625" style="27" bestFit="1" customWidth="1"/>
    <col min="6653" max="6653" width="4.42578125" style="27" bestFit="1" customWidth="1"/>
    <col min="6654" max="6654" width="6.85546875" style="27" bestFit="1" customWidth="1"/>
    <col min="6655" max="6655" width="4.42578125" style="27" bestFit="1" customWidth="1"/>
    <col min="6656" max="6656" width="8.42578125" style="27" bestFit="1" customWidth="1"/>
    <col min="6657" max="6657" width="1.85546875" style="27" bestFit="1" customWidth="1"/>
    <col min="6658" max="6658" width="9.85546875" style="27" bestFit="1" customWidth="1"/>
    <col min="6659" max="6660" width="9.140625" style="27"/>
    <col min="6661" max="6661" width="20.42578125" style="27" bestFit="1" customWidth="1"/>
    <col min="6662" max="6662" width="9.85546875" style="27" bestFit="1" customWidth="1"/>
    <col min="6663" max="6895" width="9.140625" style="27"/>
    <col min="6896" max="6896" width="14.7109375" style="27" bestFit="1" customWidth="1"/>
    <col min="6897" max="6897" width="16" style="27" customWidth="1"/>
    <col min="6898" max="6898" width="12.85546875" style="27" bestFit="1" customWidth="1"/>
    <col min="6899" max="6900" width="10.140625" style="27" bestFit="1" customWidth="1"/>
    <col min="6901" max="6901" width="22.42578125" style="27" bestFit="1" customWidth="1"/>
    <col min="6902" max="6902" width="14" style="27" customWidth="1"/>
    <col min="6903" max="6903" width="4.85546875" style="27" bestFit="1" customWidth="1"/>
    <col min="6904" max="6904" width="9.42578125" style="27" customWidth="1"/>
    <col min="6905" max="6905" width="12.42578125" style="27" bestFit="1" customWidth="1"/>
    <col min="6906" max="6906" width="7.85546875" style="27" bestFit="1" customWidth="1"/>
    <col min="6907" max="6907" width="5.85546875" style="27" bestFit="1" customWidth="1"/>
    <col min="6908" max="6908" width="6.140625" style="27" bestFit="1" customWidth="1"/>
    <col min="6909" max="6909" width="4.42578125" style="27" bestFit="1" customWidth="1"/>
    <col min="6910" max="6910" width="6.85546875" style="27" bestFit="1" customWidth="1"/>
    <col min="6911" max="6911" width="4.42578125" style="27" bestFit="1" customWidth="1"/>
    <col min="6912" max="6912" width="8.42578125" style="27" bestFit="1" customWidth="1"/>
    <col min="6913" max="6913" width="1.85546875" style="27" bestFit="1" customWidth="1"/>
    <col min="6914" max="6914" width="9.85546875" style="27" bestFit="1" customWidth="1"/>
    <col min="6915" max="6916" width="9.140625" style="27"/>
    <col min="6917" max="6917" width="20.42578125" style="27" bestFit="1" customWidth="1"/>
    <col min="6918" max="6918" width="9.85546875" style="27" bestFit="1" customWidth="1"/>
    <col min="6919" max="7151" width="9.140625" style="27"/>
    <col min="7152" max="7152" width="14.7109375" style="27" bestFit="1" customWidth="1"/>
    <col min="7153" max="7153" width="16" style="27" customWidth="1"/>
    <col min="7154" max="7154" width="12.85546875" style="27" bestFit="1" customWidth="1"/>
    <col min="7155" max="7156" width="10.140625" style="27" bestFit="1" customWidth="1"/>
    <col min="7157" max="7157" width="22.42578125" style="27" bestFit="1" customWidth="1"/>
    <col min="7158" max="7158" width="14" style="27" customWidth="1"/>
    <col min="7159" max="7159" width="4.85546875" style="27" bestFit="1" customWidth="1"/>
    <col min="7160" max="7160" width="9.42578125" style="27" customWidth="1"/>
    <col min="7161" max="7161" width="12.42578125" style="27" bestFit="1" customWidth="1"/>
    <col min="7162" max="7162" width="7.85546875" style="27" bestFit="1" customWidth="1"/>
    <col min="7163" max="7163" width="5.85546875" style="27" bestFit="1" customWidth="1"/>
    <col min="7164" max="7164" width="6.140625" style="27" bestFit="1" customWidth="1"/>
    <col min="7165" max="7165" width="4.42578125" style="27" bestFit="1" customWidth="1"/>
    <col min="7166" max="7166" width="6.85546875" style="27" bestFit="1" customWidth="1"/>
    <col min="7167" max="7167" width="4.42578125" style="27" bestFit="1" customWidth="1"/>
    <col min="7168" max="7168" width="8.42578125" style="27" bestFit="1" customWidth="1"/>
    <col min="7169" max="7169" width="1.85546875" style="27" bestFit="1" customWidth="1"/>
    <col min="7170" max="7170" width="9.85546875" style="27" bestFit="1" customWidth="1"/>
    <col min="7171" max="7172" width="9.140625" style="27"/>
    <col min="7173" max="7173" width="20.42578125" style="27" bestFit="1" customWidth="1"/>
    <col min="7174" max="7174" width="9.85546875" style="27" bestFit="1" customWidth="1"/>
    <col min="7175" max="7407" width="9.140625" style="27"/>
    <col min="7408" max="7408" width="14.7109375" style="27" bestFit="1" customWidth="1"/>
    <col min="7409" max="7409" width="16" style="27" customWidth="1"/>
    <col min="7410" max="7410" width="12.85546875" style="27" bestFit="1" customWidth="1"/>
    <col min="7411" max="7412" width="10.140625" style="27" bestFit="1" customWidth="1"/>
    <col min="7413" max="7413" width="22.42578125" style="27" bestFit="1" customWidth="1"/>
    <col min="7414" max="7414" width="14" style="27" customWidth="1"/>
    <col min="7415" max="7415" width="4.85546875" style="27" bestFit="1" customWidth="1"/>
    <col min="7416" max="7416" width="9.42578125" style="27" customWidth="1"/>
    <col min="7417" max="7417" width="12.42578125" style="27" bestFit="1" customWidth="1"/>
    <col min="7418" max="7418" width="7.85546875" style="27" bestFit="1" customWidth="1"/>
    <col min="7419" max="7419" width="5.85546875" style="27" bestFit="1" customWidth="1"/>
    <col min="7420" max="7420" width="6.140625" style="27" bestFit="1" customWidth="1"/>
    <col min="7421" max="7421" width="4.42578125" style="27" bestFit="1" customWidth="1"/>
    <col min="7422" max="7422" width="6.85546875" style="27" bestFit="1" customWidth="1"/>
    <col min="7423" max="7423" width="4.42578125" style="27" bestFit="1" customWidth="1"/>
    <col min="7424" max="7424" width="8.42578125" style="27" bestFit="1" customWidth="1"/>
    <col min="7425" max="7425" width="1.85546875" style="27" bestFit="1" customWidth="1"/>
    <col min="7426" max="7426" width="9.85546875" style="27" bestFit="1" customWidth="1"/>
    <col min="7427" max="7428" width="9.140625" style="27"/>
    <col min="7429" max="7429" width="20.42578125" style="27" bestFit="1" customWidth="1"/>
    <col min="7430" max="7430" width="9.85546875" style="27" bestFit="1" customWidth="1"/>
    <col min="7431" max="7663" width="9.140625" style="27"/>
    <col min="7664" max="7664" width="14.7109375" style="27" bestFit="1" customWidth="1"/>
    <col min="7665" max="7665" width="16" style="27" customWidth="1"/>
    <col min="7666" max="7666" width="12.85546875" style="27" bestFit="1" customWidth="1"/>
    <col min="7667" max="7668" width="10.140625" style="27" bestFit="1" customWidth="1"/>
    <col min="7669" max="7669" width="22.42578125" style="27" bestFit="1" customWidth="1"/>
    <col min="7670" max="7670" width="14" style="27" customWidth="1"/>
    <col min="7671" max="7671" width="4.85546875" style="27" bestFit="1" customWidth="1"/>
    <col min="7672" max="7672" width="9.42578125" style="27" customWidth="1"/>
    <col min="7673" max="7673" width="12.42578125" style="27" bestFit="1" customWidth="1"/>
    <col min="7674" max="7674" width="7.85546875" style="27" bestFit="1" customWidth="1"/>
    <col min="7675" max="7675" width="5.85546875" style="27" bestFit="1" customWidth="1"/>
    <col min="7676" max="7676" width="6.140625" style="27" bestFit="1" customWidth="1"/>
    <col min="7677" max="7677" width="4.42578125" style="27" bestFit="1" customWidth="1"/>
    <col min="7678" max="7678" width="6.85546875" style="27" bestFit="1" customWidth="1"/>
    <col min="7679" max="7679" width="4.42578125" style="27" bestFit="1" customWidth="1"/>
    <col min="7680" max="7680" width="8.42578125" style="27" bestFit="1" customWidth="1"/>
    <col min="7681" max="7681" width="1.85546875" style="27" bestFit="1" customWidth="1"/>
    <col min="7682" max="7682" width="9.85546875" style="27" bestFit="1" customWidth="1"/>
    <col min="7683" max="7684" width="9.140625" style="27"/>
    <col min="7685" max="7685" width="20.42578125" style="27" bestFit="1" customWidth="1"/>
    <col min="7686" max="7686" width="9.85546875" style="27" bestFit="1" customWidth="1"/>
    <col min="7687" max="7919" width="9.140625" style="27"/>
    <col min="7920" max="7920" width="14.7109375" style="27" bestFit="1" customWidth="1"/>
    <col min="7921" max="7921" width="16" style="27" customWidth="1"/>
    <col min="7922" max="7922" width="12.85546875" style="27" bestFit="1" customWidth="1"/>
    <col min="7923" max="7924" width="10.140625" style="27" bestFit="1" customWidth="1"/>
    <col min="7925" max="7925" width="22.42578125" style="27" bestFit="1" customWidth="1"/>
    <col min="7926" max="7926" width="14" style="27" customWidth="1"/>
    <col min="7927" max="7927" width="4.85546875" style="27" bestFit="1" customWidth="1"/>
    <col min="7928" max="7928" width="9.42578125" style="27" customWidth="1"/>
    <col min="7929" max="7929" width="12.42578125" style="27" bestFit="1" customWidth="1"/>
    <col min="7930" max="7930" width="7.85546875" style="27" bestFit="1" customWidth="1"/>
    <col min="7931" max="7931" width="5.85546875" style="27" bestFit="1" customWidth="1"/>
    <col min="7932" max="7932" width="6.140625" style="27" bestFit="1" customWidth="1"/>
    <col min="7933" max="7933" width="4.42578125" style="27" bestFit="1" customWidth="1"/>
    <col min="7934" max="7934" width="6.85546875" style="27" bestFit="1" customWidth="1"/>
    <col min="7935" max="7935" width="4.42578125" style="27" bestFit="1" customWidth="1"/>
    <col min="7936" max="7936" width="8.42578125" style="27" bestFit="1" customWidth="1"/>
    <col min="7937" max="7937" width="1.85546875" style="27" bestFit="1" customWidth="1"/>
    <col min="7938" max="7938" width="9.85546875" style="27" bestFit="1" customWidth="1"/>
    <col min="7939" max="7940" width="9.140625" style="27"/>
    <col min="7941" max="7941" width="20.42578125" style="27" bestFit="1" customWidth="1"/>
    <col min="7942" max="7942" width="9.85546875" style="27" bestFit="1" customWidth="1"/>
    <col min="7943" max="8175" width="9.140625" style="27"/>
    <col min="8176" max="8176" width="14.7109375" style="27" bestFit="1" customWidth="1"/>
    <col min="8177" max="8177" width="16" style="27" customWidth="1"/>
    <col min="8178" max="8178" width="12.85546875" style="27" bestFit="1" customWidth="1"/>
    <col min="8179" max="8180" width="10.140625" style="27" bestFit="1" customWidth="1"/>
    <col min="8181" max="8181" width="22.42578125" style="27" bestFit="1" customWidth="1"/>
    <col min="8182" max="8182" width="14" style="27" customWidth="1"/>
    <col min="8183" max="8183" width="4.85546875" style="27" bestFit="1" customWidth="1"/>
    <col min="8184" max="8184" width="9.42578125" style="27" customWidth="1"/>
    <col min="8185" max="8185" width="12.42578125" style="27" bestFit="1" customWidth="1"/>
    <col min="8186" max="8186" width="7.85546875" style="27" bestFit="1" customWidth="1"/>
    <col min="8187" max="8187" width="5.85546875" style="27" bestFit="1" customWidth="1"/>
    <col min="8188" max="8188" width="6.140625" style="27" bestFit="1" customWidth="1"/>
    <col min="8189" max="8189" width="4.42578125" style="27" bestFit="1" customWidth="1"/>
    <col min="8190" max="8190" width="6.85546875" style="27" bestFit="1" customWidth="1"/>
    <col min="8191" max="8191" width="4.42578125" style="27" bestFit="1" customWidth="1"/>
    <col min="8192" max="8192" width="8.42578125" style="27" bestFit="1" customWidth="1"/>
    <col min="8193" max="8193" width="1.85546875" style="27" bestFit="1" customWidth="1"/>
    <col min="8194" max="8194" width="9.85546875" style="27" bestFit="1" customWidth="1"/>
    <col min="8195" max="8196" width="9.140625" style="27"/>
    <col min="8197" max="8197" width="20.42578125" style="27" bestFit="1" customWidth="1"/>
    <col min="8198" max="8198" width="9.85546875" style="27" bestFit="1" customWidth="1"/>
    <col min="8199" max="8431" width="9.140625" style="27"/>
    <col min="8432" max="8432" width="14.7109375" style="27" bestFit="1" customWidth="1"/>
    <col min="8433" max="8433" width="16" style="27" customWidth="1"/>
    <col min="8434" max="8434" width="12.85546875" style="27" bestFit="1" customWidth="1"/>
    <col min="8435" max="8436" width="10.140625" style="27" bestFit="1" customWidth="1"/>
    <col min="8437" max="8437" width="22.42578125" style="27" bestFit="1" customWidth="1"/>
    <col min="8438" max="8438" width="14" style="27" customWidth="1"/>
    <col min="8439" max="8439" width="4.85546875" style="27" bestFit="1" customWidth="1"/>
    <col min="8440" max="8440" width="9.42578125" style="27" customWidth="1"/>
    <col min="8441" max="8441" width="12.42578125" style="27" bestFit="1" customWidth="1"/>
    <col min="8442" max="8442" width="7.85546875" style="27" bestFit="1" customWidth="1"/>
    <col min="8443" max="8443" width="5.85546875" style="27" bestFit="1" customWidth="1"/>
    <col min="8444" max="8444" width="6.140625" style="27" bestFit="1" customWidth="1"/>
    <col min="8445" max="8445" width="4.42578125" style="27" bestFit="1" customWidth="1"/>
    <col min="8446" max="8446" width="6.85546875" style="27" bestFit="1" customWidth="1"/>
    <col min="8447" max="8447" width="4.42578125" style="27" bestFit="1" customWidth="1"/>
    <col min="8448" max="8448" width="8.42578125" style="27" bestFit="1" customWidth="1"/>
    <col min="8449" max="8449" width="1.85546875" style="27" bestFit="1" customWidth="1"/>
    <col min="8450" max="8450" width="9.85546875" style="27" bestFit="1" customWidth="1"/>
    <col min="8451" max="8452" width="9.140625" style="27"/>
    <col min="8453" max="8453" width="20.42578125" style="27" bestFit="1" customWidth="1"/>
    <col min="8454" max="8454" width="9.85546875" style="27" bestFit="1" customWidth="1"/>
    <col min="8455" max="8687" width="9.140625" style="27"/>
    <col min="8688" max="8688" width="14.7109375" style="27" bestFit="1" customWidth="1"/>
    <col min="8689" max="8689" width="16" style="27" customWidth="1"/>
    <col min="8690" max="8690" width="12.85546875" style="27" bestFit="1" customWidth="1"/>
    <col min="8691" max="8692" width="10.140625" style="27" bestFit="1" customWidth="1"/>
    <col min="8693" max="8693" width="22.42578125" style="27" bestFit="1" customWidth="1"/>
    <col min="8694" max="8694" width="14" style="27" customWidth="1"/>
    <col min="8695" max="8695" width="4.85546875" style="27" bestFit="1" customWidth="1"/>
    <col min="8696" max="8696" width="9.42578125" style="27" customWidth="1"/>
    <col min="8697" max="8697" width="12.42578125" style="27" bestFit="1" customWidth="1"/>
    <col min="8698" max="8698" width="7.85546875" style="27" bestFit="1" customWidth="1"/>
    <col min="8699" max="8699" width="5.85546875" style="27" bestFit="1" customWidth="1"/>
    <col min="8700" max="8700" width="6.140625" style="27" bestFit="1" customWidth="1"/>
    <col min="8701" max="8701" width="4.42578125" style="27" bestFit="1" customWidth="1"/>
    <col min="8702" max="8702" width="6.85546875" style="27" bestFit="1" customWidth="1"/>
    <col min="8703" max="8703" width="4.42578125" style="27" bestFit="1" customWidth="1"/>
    <col min="8704" max="8704" width="8.42578125" style="27" bestFit="1" customWidth="1"/>
    <col min="8705" max="8705" width="1.85546875" style="27" bestFit="1" customWidth="1"/>
    <col min="8706" max="8706" width="9.85546875" style="27" bestFit="1" customWidth="1"/>
    <col min="8707" max="8708" width="9.140625" style="27"/>
    <col min="8709" max="8709" width="20.42578125" style="27" bestFit="1" customWidth="1"/>
    <col min="8710" max="8710" width="9.85546875" style="27" bestFit="1" customWidth="1"/>
    <col min="8711" max="8943" width="9.140625" style="27"/>
    <col min="8944" max="8944" width="14.7109375" style="27" bestFit="1" customWidth="1"/>
    <col min="8945" max="8945" width="16" style="27" customWidth="1"/>
    <col min="8946" max="8946" width="12.85546875" style="27" bestFit="1" customWidth="1"/>
    <col min="8947" max="8948" width="10.140625" style="27" bestFit="1" customWidth="1"/>
    <col min="8949" max="8949" width="22.42578125" style="27" bestFit="1" customWidth="1"/>
    <col min="8950" max="8950" width="14" style="27" customWidth="1"/>
    <col min="8951" max="8951" width="4.85546875" style="27" bestFit="1" customWidth="1"/>
    <col min="8952" max="8952" width="9.42578125" style="27" customWidth="1"/>
    <col min="8953" max="8953" width="12.42578125" style="27" bestFit="1" customWidth="1"/>
    <col min="8954" max="8954" width="7.85546875" style="27" bestFit="1" customWidth="1"/>
    <col min="8955" max="8955" width="5.85546875" style="27" bestFit="1" customWidth="1"/>
    <col min="8956" max="8956" width="6.140625" style="27" bestFit="1" customWidth="1"/>
    <col min="8957" max="8957" width="4.42578125" style="27" bestFit="1" customWidth="1"/>
    <col min="8958" max="8958" width="6.85546875" style="27" bestFit="1" customWidth="1"/>
    <col min="8959" max="8959" width="4.42578125" style="27" bestFit="1" customWidth="1"/>
    <col min="8960" max="8960" width="8.42578125" style="27" bestFit="1" customWidth="1"/>
    <col min="8961" max="8961" width="1.85546875" style="27" bestFit="1" customWidth="1"/>
    <col min="8962" max="8962" width="9.85546875" style="27" bestFit="1" customWidth="1"/>
    <col min="8963" max="8964" width="9.140625" style="27"/>
    <col min="8965" max="8965" width="20.42578125" style="27" bestFit="1" customWidth="1"/>
    <col min="8966" max="8966" width="9.85546875" style="27" bestFit="1" customWidth="1"/>
    <col min="8967" max="9199" width="9.140625" style="27"/>
    <col min="9200" max="9200" width="14.7109375" style="27" bestFit="1" customWidth="1"/>
    <col min="9201" max="9201" width="16" style="27" customWidth="1"/>
    <col min="9202" max="9202" width="12.85546875" style="27" bestFit="1" customWidth="1"/>
    <col min="9203" max="9204" width="10.140625" style="27" bestFit="1" customWidth="1"/>
    <col min="9205" max="9205" width="22.42578125" style="27" bestFit="1" customWidth="1"/>
    <col min="9206" max="9206" width="14" style="27" customWidth="1"/>
    <col min="9207" max="9207" width="4.85546875" style="27" bestFit="1" customWidth="1"/>
    <col min="9208" max="9208" width="9.42578125" style="27" customWidth="1"/>
    <col min="9209" max="9209" width="12.42578125" style="27" bestFit="1" customWidth="1"/>
    <col min="9210" max="9210" width="7.85546875" style="27" bestFit="1" customWidth="1"/>
    <col min="9211" max="9211" width="5.85546875" style="27" bestFit="1" customWidth="1"/>
    <col min="9212" max="9212" width="6.140625" style="27" bestFit="1" customWidth="1"/>
    <col min="9213" max="9213" width="4.42578125" style="27" bestFit="1" customWidth="1"/>
    <col min="9214" max="9214" width="6.85546875" style="27" bestFit="1" customWidth="1"/>
    <col min="9215" max="9215" width="4.42578125" style="27" bestFit="1" customWidth="1"/>
    <col min="9216" max="9216" width="8.42578125" style="27" bestFit="1" customWidth="1"/>
    <col min="9217" max="9217" width="1.85546875" style="27" bestFit="1" customWidth="1"/>
    <col min="9218" max="9218" width="9.85546875" style="27" bestFit="1" customWidth="1"/>
    <col min="9219" max="9220" width="9.140625" style="27"/>
    <col min="9221" max="9221" width="20.42578125" style="27" bestFit="1" customWidth="1"/>
    <col min="9222" max="9222" width="9.85546875" style="27" bestFit="1" customWidth="1"/>
    <col min="9223" max="9455" width="9.140625" style="27"/>
    <col min="9456" max="9456" width="14.7109375" style="27" bestFit="1" customWidth="1"/>
    <col min="9457" max="9457" width="16" style="27" customWidth="1"/>
    <col min="9458" max="9458" width="12.85546875" style="27" bestFit="1" customWidth="1"/>
    <col min="9459" max="9460" width="10.140625" style="27" bestFit="1" customWidth="1"/>
    <col min="9461" max="9461" width="22.42578125" style="27" bestFit="1" customWidth="1"/>
    <col min="9462" max="9462" width="14" style="27" customWidth="1"/>
    <col min="9463" max="9463" width="4.85546875" style="27" bestFit="1" customWidth="1"/>
    <col min="9464" max="9464" width="9.42578125" style="27" customWidth="1"/>
    <col min="9465" max="9465" width="12.42578125" style="27" bestFit="1" customWidth="1"/>
    <col min="9466" max="9466" width="7.85546875" style="27" bestFit="1" customWidth="1"/>
    <col min="9467" max="9467" width="5.85546875" style="27" bestFit="1" customWidth="1"/>
    <col min="9468" max="9468" width="6.140625" style="27" bestFit="1" customWidth="1"/>
    <col min="9469" max="9469" width="4.42578125" style="27" bestFit="1" customWidth="1"/>
    <col min="9470" max="9470" width="6.85546875" style="27" bestFit="1" customWidth="1"/>
    <col min="9471" max="9471" width="4.42578125" style="27" bestFit="1" customWidth="1"/>
    <col min="9472" max="9472" width="8.42578125" style="27" bestFit="1" customWidth="1"/>
    <col min="9473" max="9473" width="1.85546875" style="27" bestFit="1" customWidth="1"/>
    <col min="9474" max="9474" width="9.85546875" style="27" bestFit="1" customWidth="1"/>
    <col min="9475" max="9476" width="9.140625" style="27"/>
    <col min="9477" max="9477" width="20.42578125" style="27" bestFit="1" customWidth="1"/>
    <col min="9478" max="9478" width="9.85546875" style="27" bestFit="1" customWidth="1"/>
    <col min="9479" max="9711" width="9.140625" style="27"/>
    <col min="9712" max="9712" width="14.7109375" style="27" bestFit="1" customWidth="1"/>
    <col min="9713" max="9713" width="16" style="27" customWidth="1"/>
    <col min="9714" max="9714" width="12.85546875" style="27" bestFit="1" customWidth="1"/>
    <col min="9715" max="9716" width="10.140625" style="27" bestFit="1" customWidth="1"/>
    <col min="9717" max="9717" width="22.42578125" style="27" bestFit="1" customWidth="1"/>
    <col min="9718" max="9718" width="14" style="27" customWidth="1"/>
    <col min="9719" max="9719" width="4.85546875" style="27" bestFit="1" customWidth="1"/>
    <col min="9720" max="9720" width="9.42578125" style="27" customWidth="1"/>
    <col min="9721" max="9721" width="12.42578125" style="27" bestFit="1" customWidth="1"/>
    <col min="9722" max="9722" width="7.85546875" style="27" bestFit="1" customWidth="1"/>
    <col min="9723" max="9723" width="5.85546875" style="27" bestFit="1" customWidth="1"/>
    <col min="9724" max="9724" width="6.140625" style="27" bestFit="1" customWidth="1"/>
    <col min="9725" max="9725" width="4.42578125" style="27" bestFit="1" customWidth="1"/>
    <col min="9726" max="9726" width="6.85546875" style="27" bestFit="1" customWidth="1"/>
    <col min="9727" max="9727" width="4.42578125" style="27" bestFit="1" customWidth="1"/>
    <col min="9728" max="9728" width="8.42578125" style="27" bestFit="1" customWidth="1"/>
    <col min="9729" max="9729" width="1.85546875" style="27" bestFit="1" customWidth="1"/>
    <col min="9730" max="9730" width="9.85546875" style="27" bestFit="1" customWidth="1"/>
    <col min="9731" max="9732" width="9.140625" style="27"/>
    <col min="9733" max="9733" width="20.42578125" style="27" bestFit="1" customWidth="1"/>
    <col min="9734" max="9734" width="9.85546875" style="27" bestFit="1" customWidth="1"/>
    <col min="9735" max="9967" width="9.140625" style="27"/>
    <col min="9968" max="9968" width="14.7109375" style="27" bestFit="1" customWidth="1"/>
    <col min="9969" max="9969" width="16" style="27" customWidth="1"/>
    <col min="9970" max="9970" width="12.85546875" style="27" bestFit="1" customWidth="1"/>
    <col min="9971" max="9972" width="10.140625" style="27" bestFit="1" customWidth="1"/>
    <col min="9973" max="9973" width="22.42578125" style="27" bestFit="1" customWidth="1"/>
    <col min="9974" max="9974" width="14" style="27" customWidth="1"/>
    <col min="9975" max="9975" width="4.85546875" style="27" bestFit="1" customWidth="1"/>
    <col min="9976" max="9976" width="9.42578125" style="27" customWidth="1"/>
    <col min="9977" max="9977" width="12.42578125" style="27" bestFit="1" customWidth="1"/>
    <col min="9978" max="9978" width="7.85546875" style="27" bestFit="1" customWidth="1"/>
    <col min="9979" max="9979" width="5.85546875" style="27" bestFit="1" customWidth="1"/>
    <col min="9980" max="9980" width="6.140625" style="27" bestFit="1" customWidth="1"/>
    <col min="9981" max="9981" width="4.42578125" style="27" bestFit="1" customWidth="1"/>
    <col min="9982" max="9982" width="6.85546875" style="27" bestFit="1" customWidth="1"/>
    <col min="9983" max="9983" width="4.42578125" style="27" bestFit="1" customWidth="1"/>
    <col min="9984" max="9984" width="8.42578125" style="27" bestFit="1" customWidth="1"/>
    <col min="9985" max="9985" width="1.85546875" style="27" bestFit="1" customWidth="1"/>
    <col min="9986" max="9986" width="9.85546875" style="27" bestFit="1" customWidth="1"/>
    <col min="9987" max="9988" width="9.140625" style="27"/>
    <col min="9989" max="9989" width="20.42578125" style="27" bestFit="1" customWidth="1"/>
    <col min="9990" max="9990" width="9.85546875" style="27" bestFit="1" customWidth="1"/>
    <col min="9991" max="10223" width="9.140625" style="27"/>
    <col min="10224" max="10224" width="14.7109375" style="27" bestFit="1" customWidth="1"/>
    <col min="10225" max="10225" width="16" style="27" customWidth="1"/>
    <col min="10226" max="10226" width="12.85546875" style="27" bestFit="1" customWidth="1"/>
    <col min="10227" max="10228" width="10.140625" style="27" bestFit="1" customWidth="1"/>
    <col min="10229" max="10229" width="22.42578125" style="27" bestFit="1" customWidth="1"/>
    <col min="10230" max="10230" width="14" style="27" customWidth="1"/>
    <col min="10231" max="10231" width="4.85546875" style="27" bestFit="1" customWidth="1"/>
    <col min="10232" max="10232" width="9.42578125" style="27" customWidth="1"/>
    <col min="10233" max="10233" width="12.42578125" style="27" bestFit="1" customWidth="1"/>
    <col min="10234" max="10234" width="7.85546875" style="27" bestFit="1" customWidth="1"/>
    <col min="10235" max="10235" width="5.85546875" style="27" bestFit="1" customWidth="1"/>
    <col min="10236" max="10236" width="6.140625" style="27" bestFit="1" customWidth="1"/>
    <col min="10237" max="10237" width="4.42578125" style="27" bestFit="1" customWidth="1"/>
    <col min="10238" max="10238" width="6.85546875" style="27" bestFit="1" customWidth="1"/>
    <col min="10239" max="10239" width="4.42578125" style="27" bestFit="1" customWidth="1"/>
    <col min="10240" max="10240" width="8.42578125" style="27" bestFit="1" customWidth="1"/>
    <col min="10241" max="10241" width="1.85546875" style="27" bestFit="1" customWidth="1"/>
    <col min="10242" max="10242" width="9.85546875" style="27" bestFit="1" customWidth="1"/>
    <col min="10243" max="10244" width="9.140625" style="27"/>
    <col min="10245" max="10245" width="20.42578125" style="27" bestFit="1" customWidth="1"/>
    <col min="10246" max="10246" width="9.85546875" style="27" bestFit="1" customWidth="1"/>
    <col min="10247" max="10479" width="9.140625" style="27"/>
    <col min="10480" max="10480" width="14.7109375" style="27" bestFit="1" customWidth="1"/>
    <col min="10481" max="10481" width="16" style="27" customWidth="1"/>
    <col min="10482" max="10482" width="12.85546875" style="27" bestFit="1" customWidth="1"/>
    <col min="10483" max="10484" width="10.140625" style="27" bestFit="1" customWidth="1"/>
    <col min="10485" max="10485" width="22.42578125" style="27" bestFit="1" customWidth="1"/>
    <col min="10486" max="10486" width="14" style="27" customWidth="1"/>
    <col min="10487" max="10487" width="4.85546875" style="27" bestFit="1" customWidth="1"/>
    <col min="10488" max="10488" width="9.42578125" style="27" customWidth="1"/>
    <col min="10489" max="10489" width="12.42578125" style="27" bestFit="1" customWidth="1"/>
    <col min="10490" max="10490" width="7.85546875" style="27" bestFit="1" customWidth="1"/>
    <col min="10491" max="10491" width="5.85546875" style="27" bestFit="1" customWidth="1"/>
    <col min="10492" max="10492" width="6.140625" style="27" bestFit="1" customWidth="1"/>
    <col min="10493" max="10493" width="4.42578125" style="27" bestFit="1" customWidth="1"/>
    <col min="10494" max="10494" width="6.85546875" style="27" bestFit="1" customWidth="1"/>
    <col min="10495" max="10495" width="4.42578125" style="27" bestFit="1" customWidth="1"/>
    <col min="10496" max="10496" width="8.42578125" style="27" bestFit="1" customWidth="1"/>
    <col min="10497" max="10497" width="1.85546875" style="27" bestFit="1" customWidth="1"/>
    <col min="10498" max="10498" width="9.85546875" style="27" bestFit="1" customWidth="1"/>
    <col min="10499" max="10500" width="9.140625" style="27"/>
    <col min="10501" max="10501" width="20.42578125" style="27" bestFit="1" customWidth="1"/>
    <col min="10502" max="10502" width="9.85546875" style="27" bestFit="1" customWidth="1"/>
    <col min="10503" max="10735" width="9.140625" style="27"/>
    <col min="10736" max="10736" width="14.7109375" style="27" bestFit="1" customWidth="1"/>
    <col min="10737" max="10737" width="16" style="27" customWidth="1"/>
    <col min="10738" max="10738" width="12.85546875" style="27" bestFit="1" customWidth="1"/>
    <col min="10739" max="10740" width="10.140625" style="27" bestFit="1" customWidth="1"/>
    <col min="10741" max="10741" width="22.42578125" style="27" bestFit="1" customWidth="1"/>
    <col min="10742" max="10742" width="14" style="27" customWidth="1"/>
    <col min="10743" max="10743" width="4.85546875" style="27" bestFit="1" customWidth="1"/>
    <col min="10744" max="10744" width="9.42578125" style="27" customWidth="1"/>
    <col min="10745" max="10745" width="12.42578125" style="27" bestFit="1" customWidth="1"/>
    <col min="10746" max="10746" width="7.85546875" style="27" bestFit="1" customWidth="1"/>
    <col min="10747" max="10747" width="5.85546875" style="27" bestFit="1" customWidth="1"/>
    <col min="10748" max="10748" width="6.140625" style="27" bestFit="1" customWidth="1"/>
    <col min="10749" max="10749" width="4.42578125" style="27" bestFit="1" customWidth="1"/>
    <col min="10750" max="10750" width="6.85546875" style="27" bestFit="1" customWidth="1"/>
    <col min="10751" max="10751" width="4.42578125" style="27" bestFit="1" customWidth="1"/>
    <col min="10752" max="10752" width="8.42578125" style="27" bestFit="1" customWidth="1"/>
    <col min="10753" max="10753" width="1.85546875" style="27" bestFit="1" customWidth="1"/>
    <col min="10754" max="10754" width="9.85546875" style="27" bestFit="1" customWidth="1"/>
    <col min="10755" max="10756" width="9.140625" style="27"/>
    <col min="10757" max="10757" width="20.42578125" style="27" bestFit="1" customWidth="1"/>
    <col min="10758" max="10758" width="9.85546875" style="27" bestFit="1" customWidth="1"/>
    <col min="10759" max="10991" width="9.140625" style="27"/>
    <col min="10992" max="10992" width="14.7109375" style="27" bestFit="1" customWidth="1"/>
    <col min="10993" max="10993" width="16" style="27" customWidth="1"/>
    <col min="10994" max="10994" width="12.85546875" style="27" bestFit="1" customWidth="1"/>
    <col min="10995" max="10996" width="10.140625" style="27" bestFit="1" customWidth="1"/>
    <col min="10997" max="10997" width="22.42578125" style="27" bestFit="1" customWidth="1"/>
    <col min="10998" max="10998" width="14" style="27" customWidth="1"/>
    <col min="10999" max="10999" width="4.85546875" style="27" bestFit="1" customWidth="1"/>
    <col min="11000" max="11000" width="9.42578125" style="27" customWidth="1"/>
    <col min="11001" max="11001" width="12.42578125" style="27" bestFit="1" customWidth="1"/>
    <col min="11002" max="11002" width="7.85546875" style="27" bestFit="1" customWidth="1"/>
    <col min="11003" max="11003" width="5.85546875" style="27" bestFit="1" customWidth="1"/>
    <col min="11004" max="11004" width="6.140625" style="27" bestFit="1" customWidth="1"/>
    <col min="11005" max="11005" width="4.42578125" style="27" bestFit="1" customWidth="1"/>
    <col min="11006" max="11006" width="6.85546875" style="27" bestFit="1" customWidth="1"/>
    <col min="11007" max="11007" width="4.42578125" style="27" bestFit="1" customWidth="1"/>
    <col min="11008" max="11008" width="8.42578125" style="27" bestFit="1" customWidth="1"/>
    <col min="11009" max="11009" width="1.85546875" style="27" bestFit="1" customWidth="1"/>
    <col min="11010" max="11010" width="9.85546875" style="27" bestFit="1" customWidth="1"/>
    <col min="11011" max="11012" width="9.140625" style="27"/>
    <col min="11013" max="11013" width="20.42578125" style="27" bestFit="1" customWidth="1"/>
    <col min="11014" max="11014" width="9.85546875" style="27" bestFit="1" customWidth="1"/>
    <col min="11015" max="11247" width="9.140625" style="27"/>
    <col min="11248" max="11248" width="14.7109375" style="27" bestFit="1" customWidth="1"/>
    <col min="11249" max="11249" width="16" style="27" customWidth="1"/>
    <col min="11250" max="11250" width="12.85546875" style="27" bestFit="1" customWidth="1"/>
    <col min="11251" max="11252" width="10.140625" style="27" bestFit="1" customWidth="1"/>
    <col min="11253" max="11253" width="22.42578125" style="27" bestFit="1" customWidth="1"/>
    <col min="11254" max="11254" width="14" style="27" customWidth="1"/>
    <col min="11255" max="11255" width="4.85546875" style="27" bestFit="1" customWidth="1"/>
    <col min="11256" max="11256" width="9.42578125" style="27" customWidth="1"/>
    <col min="11257" max="11257" width="12.42578125" style="27" bestFit="1" customWidth="1"/>
    <col min="11258" max="11258" width="7.85546875" style="27" bestFit="1" customWidth="1"/>
    <col min="11259" max="11259" width="5.85546875" style="27" bestFit="1" customWidth="1"/>
    <col min="11260" max="11260" width="6.140625" style="27" bestFit="1" customWidth="1"/>
    <col min="11261" max="11261" width="4.42578125" style="27" bestFit="1" customWidth="1"/>
    <col min="11262" max="11262" width="6.85546875" style="27" bestFit="1" customWidth="1"/>
    <col min="11263" max="11263" width="4.42578125" style="27" bestFit="1" customWidth="1"/>
    <col min="11264" max="11264" width="8.42578125" style="27" bestFit="1" customWidth="1"/>
    <col min="11265" max="11265" width="1.85546875" style="27" bestFit="1" customWidth="1"/>
    <col min="11266" max="11266" width="9.85546875" style="27" bestFit="1" customWidth="1"/>
    <col min="11267" max="11268" width="9.140625" style="27"/>
    <col min="11269" max="11269" width="20.42578125" style="27" bestFit="1" customWidth="1"/>
    <col min="11270" max="11270" width="9.85546875" style="27" bestFit="1" customWidth="1"/>
    <col min="11271" max="11503" width="9.140625" style="27"/>
    <col min="11504" max="11504" width="14.7109375" style="27" bestFit="1" customWidth="1"/>
    <col min="11505" max="11505" width="16" style="27" customWidth="1"/>
    <col min="11506" max="11506" width="12.85546875" style="27" bestFit="1" customWidth="1"/>
    <col min="11507" max="11508" width="10.140625" style="27" bestFit="1" customWidth="1"/>
    <col min="11509" max="11509" width="22.42578125" style="27" bestFit="1" customWidth="1"/>
    <col min="11510" max="11510" width="14" style="27" customWidth="1"/>
    <col min="11511" max="11511" width="4.85546875" style="27" bestFit="1" customWidth="1"/>
    <col min="11512" max="11512" width="9.42578125" style="27" customWidth="1"/>
    <col min="11513" max="11513" width="12.42578125" style="27" bestFit="1" customWidth="1"/>
    <col min="11514" max="11514" width="7.85546875" style="27" bestFit="1" customWidth="1"/>
    <col min="11515" max="11515" width="5.85546875" style="27" bestFit="1" customWidth="1"/>
    <col min="11516" max="11516" width="6.140625" style="27" bestFit="1" customWidth="1"/>
    <col min="11517" max="11517" width="4.42578125" style="27" bestFit="1" customWidth="1"/>
    <col min="11518" max="11518" width="6.85546875" style="27" bestFit="1" customWidth="1"/>
    <col min="11519" max="11519" width="4.42578125" style="27" bestFit="1" customWidth="1"/>
    <col min="11520" max="11520" width="8.42578125" style="27" bestFit="1" customWidth="1"/>
    <col min="11521" max="11521" width="1.85546875" style="27" bestFit="1" customWidth="1"/>
    <col min="11522" max="11522" width="9.85546875" style="27" bestFit="1" customWidth="1"/>
    <col min="11523" max="11524" width="9.140625" style="27"/>
    <col min="11525" max="11525" width="20.42578125" style="27" bestFit="1" customWidth="1"/>
    <col min="11526" max="11526" width="9.85546875" style="27" bestFit="1" customWidth="1"/>
    <col min="11527" max="11759" width="9.140625" style="27"/>
    <col min="11760" max="11760" width="14.7109375" style="27" bestFit="1" customWidth="1"/>
    <col min="11761" max="11761" width="16" style="27" customWidth="1"/>
    <col min="11762" max="11762" width="12.85546875" style="27" bestFit="1" customWidth="1"/>
    <col min="11763" max="11764" width="10.140625" style="27" bestFit="1" customWidth="1"/>
    <col min="11765" max="11765" width="22.42578125" style="27" bestFit="1" customWidth="1"/>
    <col min="11766" max="11766" width="14" style="27" customWidth="1"/>
    <col min="11767" max="11767" width="4.85546875" style="27" bestFit="1" customWidth="1"/>
    <col min="11768" max="11768" width="9.42578125" style="27" customWidth="1"/>
    <col min="11769" max="11769" width="12.42578125" style="27" bestFit="1" customWidth="1"/>
    <col min="11770" max="11770" width="7.85546875" style="27" bestFit="1" customWidth="1"/>
    <col min="11771" max="11771" width="5.85546875" style="27" bestFit="1" customWidth="1"/>
    <col min="11772" max="11772" width="6.140625" style="27" bestFit="1" customWidth="1"/>
    <col min="11773" max="11773" width="4.42578125" style="27" bestFit="1" customWidth="1"/>
    <col min="11774" max="11774" width="6.85546875" style="27" bestFit="1" customWidth="1"/>
    <col min="11775" max="11775" width="4.42578125" style="27" bestFit="1" customWidth="1"/>
    <col min="11776" max="11776" width="8.42578125" style="27" bestFit="1" customWidth="1"/>
    <col min="11777" max="11777" width="1.85546875" style="27" bestFit="1" customWidth="1"/>
    <col min="11778" max="11778" width="9.85546875" style="27" bestFit="1" customWidth="1"/>
    <col min="11779" max="11780" width="9.140625" style="27"/>
    <col min="11781" max="11781" width="20.42578125" style="27" bestFit="1" customWidth="1"/>
    <col min="11782" max="11782" width="9.85546875" style="27" bestFit="1" customWidth="1"/>
    <col min="11783" max="12015" width="9.140625" style="27"/>
    <col min="12016" max="12016" width="14.7109375" style="27" bestFit="1" customWidth="1"/>
    <col min="12017" max="12017" width="16" style="27" customWidth="1"/>
    <col min="12018" max="12018" width="12.85546875" style="27" bestFit="1" customWidth="1"/>
    <col min="12019" max="12020" width="10.140625" style="27" bestFit="1" customWidth="1"/>
    <col min="12021" max="12021" width="22.42578125" style="27" bestFit="1" customWidth="1"/>
    <col min="12022" max="12022" width="14" style="27" customWidth="1"/>
    <col min="12023" max="12023" width="4.85546875" style="27" bestFit="1" customWidth="1"/>
    <col min="12024" max="12024" width="9.42578125" style="27" customWidth="1"/>
    <col min="12025" max="12025" width="12.42578125" style="27" bestFit="1" customWidth="1"/>
    <col min="12026" max="12026" width="7.85546875" style="27" bestFit="1" customWidth="1"/>
    <col min="12027" max="12027" width="5.85546875" style="27" bestFit="1" customWidth="1"/>
    <col min="12028" max="12028" width="6.140625" style="27" bestFit="1" customWidth="1"/>
    <col min="12029" max="12029" width="4.42578125" style="27" bestFit="1" customWidth="1"/>
    <col min="12030" max="12030" width="6.85546875" style="27" bestFit="1" customWidth="1"/>
    <col min="12031" max="12031" width="4.42578125" style="27" bestFit="1" customWidth="1"/>
    <col min="12032" max="12032" width="8.42578125" style="27" bestFit="1" customWidth="1"/>
    <col min="12033" max="12033" width="1.85546875" style="27" bestFit="1" customWidth="1"/>
    <col min="12034" max="12034" width="9.85546875" style="27" bestFit="1" customWidth="1"/>
    <col min="12035" max="12036" width="9.140625" style="27"/>
    <col min="12037" max="12037" width="20.42578125" style="27" bestFit="1" customWidth="1"/>
    <col min="12038" max="12038" width="9.85546875" style="27" bestFit="1" customWidth="1"/>
    <col min="12039" max="12271" width="9.140625" style="27"/>
    <col min="12272" max="12272" width="14.7109375" style="27" bestFit="1" customWidth="1"/>
    <col min="12273" max="12273" width="16" style="27" customWidth="1"/>
    <col min="12274" max="12274" width="12.85546875" style="27" bestFit="1" customWidth="1"/>
    <col min="12275" max="12276" width="10.140625" style="27" bestFit="1" customWidth="1"/>
    <col min="12277" max="12277" width="22.42578125" style="27" bestFit="1" customWidth="1"/>
    <col min="12278" max="12278" width="14" style="27" customWidth="1"/>
    <col min="12279" max="12279" width="4.85546875" style="27" bestFit="1" customWidth="1"/>
    <col min="12280" max="12280" width="9.42578125" style="27" customWidth="1"/>
    <col min="12281" max="12281" width="12.42578125" style="27" bestFit="1" customWidth="1"/>
    <col min="12282" max="12282" width="7.85546875" style="27" bestFit="1" customWidth="1"/>
    <col min="12283" max="12283" width="5.85546875" style="27" bestFit="1" customWidth="1"/>
    <col min="12284" max="12284" width="6.140625" style="27" bestFit="1" customWidth="1"/>
    <col min="12285" max="12285" width="4.42578125" style="27" bestFit="1" customWidth="1"/>
    <col min="12286" max="12286" width="6.85546875" style="27" bestFit="1" customWidth="1"/>
    <col min="12287" max="12287" width="4.42578125" style="27" bestFit="1" customWidth="1"/>
    <col min="12288" max="12288" width="8.42578125" style="27" bestFit="1" customWidth="1"/>
    <col min="12289" max="12289" width="1.85546875" style="27" bestFit="1" customWidth="1"/>
    <col min="12290" max="12290" width="9.85546875" style="27" bestFit="1" customWidth="1"/>
    <col min="12291" max="12292" width="9.140625" style="27"/>
    <col min="12293" max="12293" width="20.42578125" style="27" bestFit="1" customWidth="1"/>
    <col min="12294" max="12294" width="9.85546875" style="27" bestFit="1" customWidth="1"/>
    <col min="12295" max="12527" width="9.140625" style="27"/>
    <col min="12528" max="12528" width="14.7109375" style="27" bestFit="1" customWidth="1"/>
    <col min="12529" max="12529" width="16" style="27" customWidth="1"/>
    <col min="12530" max="12530" width="12.85546875" style="27" bestFit="1" customWidth="1"/>
    <col min="12531" max="12532" width="10.140625" style="27" bestFit="1" customWidth="1"/>
    <col min="12533" max="12533" width="22.42578125" style="27" bestFit="1" customWidth="1"/>
    <col min="12534" max="12534" width="14" style="27" customWidth="1"/>
    <col min="12535" max="12535" width="4.85546875" style="27" bestFit="1" customWidth="1"/>
    <col min="12536" max="12536" width="9.42578125" style="27" customWidth="1"/>
    <col min="12537" max="12537" width="12.42578125" style="27" bestFit="1" customWidth="1"/>
    <col min="12538" max="12538" width="7.85546875" style="27" bestFit="1" customWidth="1"/>
    <col min="12539" max="12539" width="5.85546875" style="27" bestFit="1" customWidth="1"/>
    <col min="12540" max="12540" width="6.140625" style="27" bestFit="1" customWidth="1"/>
    <col min="12541" max="12541" width="4.42578125" style="27" bestFit="1" customWidth="1"/>
    <col min="12542" max="12542" width="6.85546875" style="27" bestFit="1" customWidth="1"/>
    <col min="12543" max="12543" width="4.42578125" style="27" bestFit="1" customWidth="1"/>
    <col min="12544" max="12544" width="8.42578125" style="27" bestFit="1" customWidth="1"/>
    <col min="12545" max="12545" width="1.85546875" style="27" bestFit="1" customWidth="1"/>
    <col min="12546" max="12546" width="9.85546875" style="27" bestFit="1" customWidth="1"/>
    <col min="12547" max="12548" width="9.140625" style="27"/>
    <col min="12549" max="12549" width="20.42578125" style="27" bestFit="1" customWidth="1"/>
    <col min="12550" max="12550" width="9.85546875" style="27" bestFit="1" customWidth="1"/>
    <col min="12551" max="12783" width="9.140625" style="27"/>
    <col min="12784" max="12784" width="14.7109375" style="27" bestFit="1" customWidth="1"/>
    <col min="12785" max="12785" width="16" style="27" customWidth="1"/>
    <col min="12786" max="12786" width="12.85546875" style="27" bestFit="1" customWidth="1"/>
    <col min="12787" max="12788" width="10.140625" style="27" bestFit="1" customWidth="1"/>
    <col min="12789" max="12789" width="22.42578125" style="27" bestFit="1" customWidth="1"/>
    <col min="12790" max="12790" width="14" style="27" customWidth="1"/>
    <col min="12791" max="12791" width="4.85546875" style="27" bestFit="1" customWidth="1"/>
    <col min="12792" max="12792" width="9.42578125" style="27" customWidth="1"/>
    <col min="12793" max="12793" width="12.42578125" style="27" bestFit="1" customWidth="1"/>
    <col min="12794" max="12794" width="7.85546875" style="27" bestFit="1" customWidth="1"/>
    <col min="12795" max="12795" width="5.85546875" style="27" bestFit="1" customWidth="1"/>
    <col min="12796" max="12796" width="6.140625" style="27" bestFit="1" customWidth="1"/>
    <col min="12797" max="12797" width="4.42578125" style="27" bestFit="1" customWidth="1"/>
    <col min="12798" max="12798" width="6.85546875" style="27" bestFit="1" customWidth="1"/>
    <col min="12799" max="12799" width="4.42578125" style="27" bestFit="1" customWidth="1"/>
    <col min="12800" max="12800" width="8.42578125" style="27" bestFit="1" customWidth="1"/>
    <col min="12801" max="12801" width="1.85546875" style="27" bestFit="1" customWidth="1"/>
    <col min="12802" max="12802" width="9.85546875" style="27" bestFit="1" customWidth="1"/>
    <col min="12803" max="12804" width="9.140625" style="27"/>
    <col min="12805" max="12805" width="20.42578125" style="27" bestFit="1" customWidth="1"/>
    <col min="12806" max="12806" width="9.85546875" style="27" bestFit="1" customWidth="1"/>
    <col min="12807" max="13039" width="9.140625" style="27"/>
    <col min="13040" max="13040" width="14.7109375" style="27" bestFit="1" customWidth="1"/>
    <col min="13041" max="13041" width="16" style="27" customWidth="1"/>
    <col min="13042" max="13042" width="12.85546875" style="27" bestFit="1" customWidth="1"/>
    <col min="13043" max="13044" width="10.140625" style="27" bestFit="1" customWidth="1"/>
    <col min="13045" max="13045" width="22.42578125" style="27" bestFit="1" customWidth="1"/>
    <col min="13046" max="13046" width="14" style="27" customWidth="1"/>
    <col min="13047" max="13047" width="4.85546875" style="27" bestFit="1" customWidth="1"/>
    <col min="13048" max="13048" width="9.42578125" style="27" customWidth="1"/>
    <col min="13049" max="13049" width="12.42578125" style="27" bestFit="1" customWidth="1"/>
    <col min="13050" max="13050" width="7.85546875" style="27" bestFit="1" customWidth="1"/>
    <col min="13051" max="13051" width="5.85546875" style="27" bestFit="1" customWidth="1"/>
    <col min="13052" max="13052" width="6.140625" style="27" bestFit="1" customWidth="1"/>
    <col min="13053" max="13053" width="4.42578125" style="27" bestFit="1" customWidth="1"/>
    <col min="13054" max="13054" width="6.85546875" style="27" bestFit="1" customWidth="1"/>
    <col min="13055" max="13055" width="4.42578125" style="27" bestFit="1" customWidth="1"/>
    <col min="13056" max="13056" width="8.42578125" style="27" bestFit="1" customWidth="1"/>
    <col min="13057" max="13057" width="1.85546875" style="27" bestFit="1" customWidth="1"/>
    <col min="13058" max="13058" width="9.85546875" style="27" bestFit="1" customWidth="1"/>
    <col min="13059" max="13060" width="9.140625" style="27"/>
    <col min="13061" max="13061" width="20.42578125" style="27" bestFit="1" customWidth="1"/>
    <col min="13062" max="13062" width="9.85546875" style="27" bestFit="1" customWidth="1"/>
    <col min="13063" max="13295" width="9.140625" style="27"/>
    <col min="13296" max="13296" width="14.7109375" style="27" bestFit="1" customWidth="1"/>
    <col min="13297" max="13297" width="16" style="27" customWidth="1"/>
    <col min="13298" max="13298" width="12.85546875" style="27" bestFit="1" customWidth="1"/>
    <col min="13299" max="13300" width="10.140625" style="27" bestFit="1" customWidth="1"/>
    <col min="13301" max="13301" width="22.42578125" style="27" bestFit="1" customWidth="1"/>
    <col min="13302" max="13302" width="14" style="27" customWidth="1"/>
    <col min="13303" max="13303" width="4.85546875" style="27" bestFit="1" customWidth="1"/>
    <col min="13304" max="13304" width="9.42578125" style="27" customWidth="1"/>
    <col min="13305" max="13305" width="12.42578125" style="27" bestFit="1" customWidth="1"/>
    <col min="13306" max="13306" width="7.85546875" style="27" bestFit="1" customWidth="1"/>
    <col min="13307" max="13307" width="5.85546875" style="27" bestFit="1" customWidth="1"/>
    <col min="13308" max="13308" width="6.140625" style="27" bestFit="1" customWidth="1"/>
    <col min="13309" max="13309" width="4.42578125" style="27" bestFit="1" customWidth="1"/>
    <col min="13310" max="13310" width="6.85546875" style="27" bestFit="1" customWidth="1"/>
    <col min="13311" max="13311" width="4.42578125" style="27" bestFit="1" customWidth="1"/>
    <col min="13312" max="13312" width="8.42578125" style="27" bestFit="1" customWidth="1"/>
    <col min="13313" max="13313" width="1.85546875" style="27" bestFit="1" customWidth="1"/>
    <col min="13314" max="13314" width="9.85546875" style="27" bestFit="1" customWidth="1"/>
    <col min="13315" max="13316" width="9.140625" style="27"/>
    <col min="13317" max="13317" width="20.42578125" style="27" bestFit="1" customWidth="1"/>
    <col min="13318" max="13318" width="9.85546875" style="27" bestFit="1" customWidth="1"/>
    <col min="13319" max="13551" width="9.140625" style="27"/>
    <col min="13552" max="13552" width="14.7109375" style="27" bestFit="1" customWidth="1"/>
    <col min="13553" max="13553" width="16" style="27" customWidth="1"/>
    <col min="13554" max="13554" width="12.85546875" style="27" bestFit="1" customWidth="1"/>
    <col min="13555" max="13556" width="10.140625" style="27" bestFit="1" customWidth="1"/>
    <col min="13557" max="13557" width="22.42578125" style="27" bestFit="1" customWidth="1"/>
    <col min="13558" max="13558" width="14" style="27" customWidth="1"/>
    <col min="13559" max="13559" width="4.85546875" style="27" bestFit="1" customWidth="1"/>
    <col min="13560" max="13560" width="9.42578125" style="27" customWidth="1"/>
    <col min="13561" max="13561" width="12.42578125" style="27" bestFit="1" customWidth="1"/>
    <col min="13562" max="13562" width="7.85546875" style="27" bestFit="1" customWidth="1"/>
    <col min="13563" max="13563" width="5.85546875" style="27" bestFit="1" customWidth="1"/>
    <col min="13564" max="13564" width="6.140625" style="27" bestFit="1" customWidth="1"/>
    <col min="13565" max="13565" width="4.42578125" style="27" bestFit="1" customWidth="1"/>
    <col min="13566" max="13566" width="6.85546875" style="27" bestFit="1" customWidth="1"/>
    <col min="13567" max="13567" width="4.42578125" style="27" bestFit="1" customWidth="1"/>
    <col min="13568" max="13568" width="8.42578125" style="27" bestFit="1" customWidth="1"/>
    <col min="13569" max="13569" width="1.85546875" style="27" bestFit="1" customWidth="1"/>
    <col min="13570" max="13570" width="9.85546875" style="27" bestFit="1" customWidth="1"/>
    <col min="13571" max="13572" width="9.140625" style="27"/>
    <col min="13573" max="13573" width="20.42578125" style="27" bestFit="1" customWidth="1"/>
    <col min="13574" max="13574" width="9.85546875" style="27" bestFit="1" customWidth="1"/>
    <col min="13575" max="13807" width="9.140625" style="27"/>
    <col min="13808" max="13808" width="14.7109375" style="27" bestFit="1" customWidth="1"/>
    <col min="13809" max="13809" width="16" style="27" customWidth="1"/>
    <col min="13810" max="13810" width="12.85546875" style="27" bestFit="1" customWidth="1"/>
    <col min="13811" max="13812" width="10.140625" style="27" bestFit="1" customWidth="1"/>
    <col min="13813" max="13813" width="22.42578125" style="27" bestFit="1" customWidth="1"/>
    <col min="13814" max="13814" width="14" style="27" customWidth="1"/>
    <col min="13815" max="13815" width="4.85546875" style="27" bestFit="1" customWidth="1"/>
    <col min="13816" max="13816" width="9.42578125" style="27" customWidth="1"/>
    <col min="13817" max="13817" width="12.42578125" style="27" bestFit="1" customWidth="1"/>
    <col min="13818" max="13818" width="7.85546875" style="27" bestFit="1" customWidth="1"/>
    <col min="13819" max="13819" width="5.85546875" style="27" bestFit="1" customWidth="1"/>
    <col min="13820" max="13820" width="6.140625" style="27" bestFit="1" customWidth="1"/>
    <col min="13821" max="13821" width="4.42578125" style="27" bestFit="1" customWidth="1"/>
    <col min="13822" max="13822" width="6.85546875" style="27" bestFit="1" customWidth="1"/>
    <col min="13823" max="13823" width="4.42578125" style="27" bestFit="1" customWidth="1"/>
    <col min="13824" max="13824" width="8.42578125" style="27" bestFit="1" customWidth="1"/>
    <col min="13825" max="13825" width="1.85546875" style="27" bestFit="1" customWidth="1"/>
    <col min="13826" max="13826" width="9.85546875" style="27" bestFit="1" customWidth="1"/>
    <col min="13827" max="13828" width="9.140625" style="27"/>
    <col min="13829" max="13829" width="20.42578125" style="27" bestFit="1" customWidth="1"/>
    <col min="13830" max="13830" width="9.85546875" style="27" bestFit="1" customWidth="1"/>
    <col min="13831" max="14063" width="9.140625" style="27"/>
    <col min="14064" max="14064" width="14.7109375" style="27" bestFit="1" customWidth="1"/>
    <col min="14065" max="14065" width="16" style="27" customWidth="1"/>
    <col min="14066" max="14066" width="12.85546875" style="27" bestFit="1" customWidth="1"/>
    <col min="14067" max="14068" width="10.140625" style="27" bestFit="1" customWidth="1"/>
    <col min="14069" max="14069" width="22.42578125" style="27" bestFit="1" customWidth="1"/>
    <col min="14070" max="14070" width="14" style="27" customWidth="1"/>
    <col min="14071" max="14071" width="4.85546875" style="27" bestFit="1" customWidth="1"/>
    <col min="14072" max="14072" width="9.42578125" style="27" customWidth="1"/>
    <col min="14073" max="14073" width="12.42578125" style="27" bestFit="1" customWidth="1"/>
    <col min="14074" max="14074" width="7.85546875" style="27" bestFit="1" customWidth="1"/>
    <col min="14075" max="14075" width="5.85546875" style="27" bestFit="1" customWidth="1"/>
    <col min="14076" max="14076" width="6.140625" style="27" bestFit="1" customWidth="1"/>
    <col min="14077" max="14077" width="4.42578125" style="27" bestFit="1" customWidth="1"/>
    <col min="14078" max="14078" width="6.85546875" style="27" bestFit="1" customWidth="1"/>
    <col min="14079" max="14079" width="4.42578125" style="27" bestFit="1" customWidth="1"/>
    <col min="14080" max="14080" width="8.42578125" style="27" bestFit="1" customWidth="1"/>
    <col min="14081" max="14081" width="1.85546875" style="27" bestFit="1" customWidth="1"/>
    <col min="14082" max="14082" width="9.85546875" style="27" bestFit="1" customWidth="1"/>
    <col min="14083" max="14084" width="9.140625" style="27"/>
    <col min="14085" max="14085" width="20.42578125" style="27" bestFit="1" customWidth="1"/>
    <col min="14086" max="14086" width="9.85546875" style="27" bestFit="1" customWidth="1"/>
    <col min="14087" max="14319" width="9.140625" style="27"/>
    <col min="14320" max="14320" width="14.7109375" style="27" bestFit="1" customWidth="1"/>
    <col min="14321" max="14321" width="16" style="27" customWidth="1"/>
    <col min="14322" max="14322" width="12.85546875" style="27" bestFit="1" customWidth="1"/>
    <col min="14323" max="14324" width="10.140625" style="27" bestFit="1" customWidth="1"/>
    <col min="14325" max="14325" width="22.42578125" style="27" bestFit="1" customWidth="1"/>
    <col min="14326" max="14326" width="14" style="27" customWidth="1"/>
    <col min="14327" max="14327" width="4.85546875" style="27" bestFit="1" customWidth="1"/>
    <col min="14328" max="14328" width="9.42578125" style="27" customWidth="1"/>
    <col min="14329" max="14329" width="12.42578125" style="27" bestFit="1" customWidth="1"/>
    <col min="14330" max="14330" width="7.85546875" style="27" bestFit="1" customWidth="1"/>
    <col min="14331" max="14331" width="5.85546875" style="27" bestFit="1" customWidth="1"/>
    <col min="14332" max="14332" width="6.140625" style="27" bestFit="1" customWidth="1"/>
    <col min="14333" max="14333" width="4.42578125" style="27" bestFit="1" customWidth="1"/>
    <col min="14334" max="14334" width="6.85546875" style="27" bestFit="1" customWidth="1"/>
    <col min="14335" max="14335" width="4.42578125" style="27" bestFit="1" customWidth="1"/>
    <col min="14336" max="14336" width="8.42578125" style="27" bestFit="1" customWidth="1"/>
    <col min="14337" max="14337" width="1.85546875" style="27" bestFit="1" customWidth="1"/>
    <col min="14338" max="14338" width="9.85546875" style="27" bestFit="1" customWidth="1"/>
    <col min="14339" max="14340" width="9.140625" style="27"/>
    <col min="14341" max="14341" width="20.42578125" style="27" bestFit="1" customWidth="1"/>
    <col min="14342" max="14342" width="9.85546875" style="27" bestFit="1" customWidth="1"/>
    <col min="14343" max="14575" width="9.140625" style="27"/>
    <col min="14576" max="14576" width="14.7109375" style="27" bestFit="1" customWidth="1"/>
    <col min="14577" max="14577" width="16" style="27" customWidth="1"/>
    <col min="14578" max="14578" width="12.85546875" style="27" bestFit="1" customWidth="1"/>
    <col min="14579" max="14580" width="10.140625" style="27" bestFit="1" customWidth="1"/>
    <col min="14581" max="14581" width="22.42578125" style="27" bestFit="1" customWidth="1"/>
    <col min="14582" max="14582" width="14" style="27" customWidth="1"/>
    <col min="14583" max="14583" width="4.85546875" style="27" bestFit="1" customWidth="1"/>
    <col min="14584" max="14584" width="9.42578125" style="27" customWidth="1"/>
    <col min="14585" max="14585" width="12.42578125" style="27" bestFit="1" customWidth="1"/>
    <col min="14586" max="14586" width="7.85546875" style="27" bestFit="1" customWidth="1"/>
    <col min="14587" max="14587" width="5.85546875" style="27" bestFit="1" customWidth="1"/>
    <col min="14588" max="14588" width="6.140625" style="27" bestFit="1" customWidth="1"/>
    <col min="14589" max="14589" width="4.42578125" style="27" bestFit="1" customWidth="1"/>
    <col min="14590" max="14590" width="6.85546875" style="27" bestFit="1" customWidth="1"/>
    <col min="14591" max="14591" width="4.42578125" style="27" bestFit="1" customWidth="1"/>
    <col min="14592" max="14592" width="8.42578125" style="27" bestFit="1" customWidth="1"/>
    <col min="14593" max="14593" width="1.85546875" style="27" bestFit="1" customWidth="1"/>
    <col min="14594" max="14594" width="9.85546875" style="27" bestFit="1" customWidth="1"/>
    <col min="14595" max="14596" width="9.140625" style="27"/>
    <col min="14597" max="14597" width="20.42578125" style="27" bestFit="1" customWidth="1"/>
    <col min="14598" max="14598" width="9.85546875" style="27" bestFit="1" customWidth="1"/>
    <col min="14599" max="14831" width="9.140625" style="27"/>
    <col min="14832" max="14832" width="14.7109375" style="27" bestFit="1" customWidth="1"/>
    <col min="14833" max="14833" width="16" style="27" customWidth="1"/>
    <col min="14834" max="14834" width="12.85546875" style="27" bestFit="1" customWidth="1"/>
    <col min="14835" max="14836" width="10.140625" style="27" bestFit="1" customWidth="1"/>
    <col min="14837" max="14837" width="22.42578125" style="27" bestFit="1" customWidth="1"/>
    <col min="14838" max="14838" width="14" style="27" customWidth="1"/>
    <col min="14839" max="14839" width="4.85546875" style="27" bestFit="1" customWidth="1"/>
    <col min="14840" max="14840" width="9.42578125" style="27" customWidth="1"/>
    <col min="14841" max="14841" width="12.42578125" style="27" bestFit="1" customWidth="1"/>
    <col min="14842" max="14842" width="7.85546875" style="27" bestFit="1" customWidth="1"/>
    <col min="14843" max="14843" width="5.85546875" style="27" bestFit="1" customWidth="1"/>
    <col min="14844" max="14844" width="6.140625" style="27" bestFit="1" customWidth="1"/>
    <col min="14845" max="14845" width="4.42578125" style="27" bestFit="1" customWidth="1"/>
    <col min="14846" max="14846" width="6.85546875" style="27" bestFit="1" customWidth="1"/>
    <col min="14847" max="14847" width="4.42578125" style="27" bestFit="1" customWidth="1"/>
    <col min="14848" max="14848" width="8.42578125" style="27" bestFit="1" customWidth="1"/>
    <col min="14849" max="14849" width="1.85546875" style="27" bestFit="1" customWidth="1"/>
    <col min="14850" max="14850" width="9.85546875" style="27" bestFit="1" customWidth="1"/>
    <col min="14851" max="14852" width="9.140625" style="27"/>
    <col min="14853" max="14853" width="20.42578125" style="27" bestFit="1" customWidth="1"/>
    <col min="14854" max="14854" width="9.85546875" style="27" bestFit="1" customWidth="1"/>
    <col min="14855" max="15087" width="9.140625" style="27"/>
    <col min="15088" max="15088" width="14.7109375" style="27" bestFit="1" customWidth="1"/>
    <col min="15089" max="15089" width="16" style="27" customWidth="1"/>
    <col min="15090" max="15090" width="12.85546875" style="27" bestFit="1" customWidth="1"/>
    <col min="15091" max="15092" width="10.140625" style="27" bestFit="1" customWidth="1"/>
    <col min="15093" max="15093" width="22.42578125" style="27" bestFit="1" customWidth="1"/>
    <col min="15094" max="15094" width="14" style="27" customWidth="1"/>
    <col min="15095" max="15095" width="4.85546875" style="27" bestFit="1" customWidth="1"/>
    <col min="15096" max="15096" width="9.42578125" style="27" customWidth="1"/>
    <col min="15097" max="15097" width="12.42578125" style="27" bestFit="1" customWidth="1"/>
    <col min="15098" max="15098" width="7.85546875" style="27" bestFit="1" customWidth="1"/>
    <col min="15099" max="15099" width="5.85546875" style="27" bestFit="1" customWidth="1"/>
    <col min="15100" max="15100" width="6.140625" style="27" bestFit="1" customWidth="1"/>
    <col min="15101" max="15101" width="4.42578125" style="27" bestFit="1" customWidth="1"/>
    <col min="15102" max="15102" width="6.85546875" style="27" bestFit="1" customWidth="1"/>
    <col min="15103" max="15103" width="4.42578125" style="27" bestFit="1" customWidth="1"/>
    <col min="15104" max="15104" width="8.42578125" style="27" bestFit="1" customWidth="1"/>
    <col min="15105" max="15105" width="1.85546875" style="27" bestFit="1" customWidth="1"/>
    <col min="15106" max="15106" width="9.85546875" style="27" bestFit="1" customWidth="1"/>
    <col min="15107" max="15108" width="9.140625" style="27"/>
    <col min="15109" max="15109" width="20.42578125" style="27" bestFit="1" customWidth="1"/>
    <col min="15110" max="15110" width="9.85546875" style="27" bestFit="1" customWidth="1"/>
    <col min="15111" max="15343" width="9.140625" style="27"/>
    <col min="15344" max="15344" width="14.7109375" style="27" bestFit="1" customWidth="1"/>
    <col min="15345" max="15345" width="16" style="27" customWidth="1"/>
    <col min="15346" max="15346" width="12.85546875" style="27" bestFit="1" customWidth="1"/>
    <col min="15347" max="15348" width="10.140625" style="27" bestFit="1" customWidth="1"/>
    <col min="15349" max="15349" width="22.42578125" style="27" bestFit="1" customWidth="1"/>
    <col min="15350" max="15350" width="14" style="27" customWidth="1"/>
    <col min="15351" max="15351" width="4.85546875" style="27" bestFit="1" customWidth="1"/>
    <col min="15352" max="15352" width="9.42578125" style="27" customWidth="1"/>
    <col min="15353" max="15353" width="12.42578125" style="27" bestFit="1" customWidth="1"/>
    <col min="15354" max="15354" width="7.85546875" style="27" bestFit="1" customWidth="1"/>
    <col min="15355" max="15355" width="5.85546875" style="27" bestFit="1" customWidth="1"/>
    <col min="15356" max="15356" width="6.140625" style="27" bestFit="1" customWidth="1"/>
    <col min="15357" max="15357" width="4.42578125" style="27" bestFit="1" customWidth="1"/>
    <col min="15358" max="15358" width="6.85546875" style="27" bestFit="1" customWidth="1"/>
    <col min="15359" max="15359" width="4.42578125" style="27" bestFit="1" customWidth="1"/>
    <col min="15360" max="15360" width="8.42578125" style="27" bestFit="1" customWidth="1"/>
    <col min="15361" max="15361" width="1.85546875" style="27" bestFit="1" customWidth="1"/>
    <col min="15362" max="15362" width="9.85546875" style="27" bestFit="1" customWidth="1"/>
    <col min="15363" max="15364" width="9.140625" style="27"/>
    <col min="15365" max="15365" width="20.42578125" style="27" bestFit="1" customWidth="1"/>
    <col min="15366" max="15366" width="9.85546875" style="27" bestFit="1" customWidth="1"/>
    <col min="15367" max="15599" width="9.140625" style="27"/>
    <col min="15600" max="15600" width="14.7109375" style="27" bestFit="1" customWidth="1"/>
    <col min="15601" max="15601" width="16" style="27" customWidth="1"/>
    <col min="15602" max="15602" width="12.85546875" style="27" bestFit="1" customWidth="1"/>
    <col min="15603" max="15604" width="10.140625" style="27" bestFit="1" customWidth="1"/>
    <col min="15605" max="15605" width="22.42578125" style="27" bestFit="1" customWidth="1"/>
    <col min="15606" max="15606" width="14" style="27" customWidth="1"/>
    <col min="15607" max="15607" width="4.85546875" style="27" bestFit="1" customWidth="1"/>
    <col min="15608" max="15608" width="9.42578125" style="27" customWidth="1"/>
    <col min="15609" max="15609" width="12.42578125" style="27" bestFit="1" customWidth="1"/>
    <col min="15610" max="15610" width="7.85546875" style="27" bestFit="1" customWidth="1"/>
    <col min="15611" max="15611" width="5.85546875" style="27" bestFit="1" customWidth="1"/>
    <col min="15612" max="15612" width="6.140625" style="27" bestFit="1" customWidth="1"/>
    <col min="15613" max="15613" width="4.42578125" style="27" bestFit="1" customWidth="1"/>
    <col min="15614" max="15614" width="6.85546875" style="27" bestFit="1" customWidth="1"/>
    <col min="15615" max="15615" width="4.42578125" style="27" bestFit="1" customWidth="1"/>
    <col min="15616" max="15616" width="8.42578125" style="27" bestFit="1" customWidth="1"/>
    <col min="15617" max="15617" width="1.85546875" style="27" bestFit="1" customWidth="1"/>
    <col min="15618" max="15618" width="9.85546875" style="27" bestFit="1" customWidth="1"/>
    <col min="15619" max="15620" width="9.140625" style="27"/>
    <col min="15621" max="15621" width="20.42578125" style="27" bestFit="1" customWidth="1"/>
    <col min="15622" max="15622" width="9.85546875" style="27" bestFit="1" customWidth="1"/>
    <col min="15623" max="15855" width="9.140625" style="27"/>
    <col min="15856" max="15856" width="14.7109375" style="27" bestFit="1" customWidth="1"/>
    <col min="15857" max="15857" width="16" style="27" customWidth="1"/>
    <col min="15858" max="15858" width="12.85546875" style="27" bestFit="1" customWidth="1"/>
    <col min="15859" max="15860" width="10.140625" style="27" bestFit="1" customWidth="1"/>
    <col min="15861" max="15861" width="22.42578125" style="27" bestFit="1" customWidth="1"/>
    <col min="15862" max="15862" width="14" style="27" customWidth="1"/>
    <col min="15863" max="15863" width="4.85546875" style="27" bestFit="1" customWidth="1"/>
    <col min="15864" max="15864" width="9.42578125" style="27" customWidth="1"/>
    <col min="15865" max="15865" width="12.42578125" style="27" bestFit="1" customWidth="1"/>
    <col min="15866" max="15866" width="7.85546875" style="27" bestFit="1" customWidth="1"/>
    <col min="15867" max="15867" width="5.85546875" style="27" bestFit="1" customWidth="1"/>
    <col min="15868" max="15868" width="6.140625" style="27" bestFit="1" customWidth="1"/>
    <col min="15869" max="15869" width="4.42578125" style="27" bestFit="1" customWidth="1"/>
    <col min="15870" max="15870" width="6.85546875" style="27" bestFit="1" customWidth="1"/>
    <col min="15871" max="15871" width="4.42578125" style="27" bestFit="1" customWidth="1"/>
    <col min="15872" max="15872" width="8.42578125" style="27" bestFit="1" customWidth="1"/>
    <col min="15873" max="15873" width="1.85546875" style="27" bestFit="1" customWidth="1"/>
    <col min="15874" max="15874" width="9.85546875" style="27" bestFit="1" customWidth="1"/>
    <col min="15875" max="15876" width="9.140625" style="27"/>
    <col min="15877" max="15877" width="20.42578125" style="27" bestFit="1" customWidth="1"/>
    <col min="15878" max="15878" width="9.85546875" style="27" bestFit="1" customWidth="1"/>
    <col min="15879" max="16111" width="9.140625" style="27"/>
    <col min="16112" max="16112" width="14.7109375" style="27" bestFit="1" customWidth="1"/>
    <col min="16113" max="16113" width="16" style="27" customWidth="1"/>
    <col min="16114" max="16114" width="12.85546875" style="27" bestFit="1" customWidth="1"/>
    <col min="16115" max="16116" width="10.140625" style="27" bestFit="1" customWidth="1"/>
    <col min="16117" max="16117" width="22.42578125" style="27" bestFit="1" customWidth="1"/>
    <col min="16118" max="16118" width="14" style="27" customWidth="1"/>
    <col min="16119" max="16119" width="4.85546875" style="27" bestFit="1" customWidth="1"/>
    <col min="16120" max="16120" width="9.42578125" style="27" customWidth="1"/>
    <col min="16121" max="16121" width="12.42578125" style="27" bestFit="1" customWidth="1"/>
    <col min="16122" max="16122" width="7.85546875" style="27" bestFit="1" customWidth="1"/>
    <col min="16123" max="16123" width="5.85546875" style="27" bestFit="1" customWidth="1"/>
    <col min="16124" max="16124" width="6.140625" style="27" bestFit="1" customWidth="1"/>
    <col min="16125" max="16125" width="4.42578125" style="27" bestFit="1" customWidth="1"/>
    <col min="16126" max="16126" width="6.85546875" style="27" bestFit="1" customWidth="1"/>
    <col min="16127" max="16127" width="4.42578125" style="27" bestFit="1" customWidth="1"/>
    <col min="16128" max="16128" width="8.42578125" style="27" bestFit="1" customWidth="1"/>
    <col min="16129" max="16129" width="1.85546875" style="27" bestFit="1" customWidth="1"/>
    <col min="16130" max="16130" width="9.85546875" style="27" bestFit="1" customWidth="1"/>
    <col min="16131" max="16132" width="9.140625" style="27"/>
    <col min="16133" max="16133" width="20.42578125" style="27" bestFit="1" customWidth="1"/>
    <col min="16134" max="16134" width="9.85546875" style="27" bestFit="1" customWidth="1"/>
    <col min="16135" max="16384" width="9.140625" style="27"/>
  </cols>
  <sheetData>
    <row r="1" spans="1:21" ht="39" customHeight="1" thickBot="1">
      <c r="A1" s="222" t="s">
        <v>193</v>
      </c>
      <c r="B1" s="222"/>
      <c r="C1" s="222"/>
      <c r="D1" s="81"/>
      <c r="G1" s="223" t="s">
        <v>140</v>
      </c>
      <c r="H1" s="223"/>
      <c r="I1" s="223"/>
      <c r="J1" s="223"/>
      <c r="K1" s="223"/>
    </row>
    <row r="2" spans="1:21" ht="40.5" customHeight="1" thickTop="1" thickBot="1">
      <c r="A2" s="83" t="s">
        <v>183</v>
      </c>
      <c r="B2" s="87">
        <v>950000</v>
      </c>
      <c r="C2" s="83" t="s">
        <v>183</v>
      </c>
      <c r="D2" s="81"/>
      <c r="E2" s="85"/>
      <c r="F2" s="86"/>
      <c r="G2" s="86">
        <v>1</v>
      </c>
      <c r="H2" s="86">
        <f>+G2+1</f>
        <v>2</v>
      </c>
      <c r="I2" s="86">
        <f t="shared" ref="I2:L2" si="0">+H2+1</f>
        <v>3</v>
      </c>
      <c r="J2" s="86">
        <f t="shared" si="0"/>
        <v>4</v>
      </c>
      <c r="K2" s="86">
        <f t="shared" si="0"/>
        <v>5</v>
      </c>
      <c r="L2" s="86">
        <f t="shared" si="0"/>
        <v>6</v>
      </c>
    </row>
    <row r="3" spans="1:21" ht="39.75" thickTop="1" thickBot="1">
      <c r="A3" s="83" t="s">
        <v>184</v>
      </c>
      <c r="B3" s="84">
        <f>VLOOKUP($B$2,$B$4:$C$9,2,0)</f>
        <v>222500</v>
      </c>
      <c r="C3" s="83" t="s">
        <v>184</v>
      </c>
      <c r="D3" s="81"/>
      <c r="E3" s="85"/>
      <c r="F3" s="136" t="s">
        <v>119</v>
      </c>
      <c r="G3" s="136" t="s">
        <v>120</v>
      </c>
      <c r="H3" s="136" t="s">
        <v>121</v>
      </c>
      <c r="I3" s="136" t="s">
        <v>122</v>
      </c>
      <c r="J3" s="136" t="s">
        <v>123</v>
      </c>
      <c r="K3" s="136" t="s">
        <v>164</v>
      </c>
      <c r="L3" s="136" t="s">
        <v>167</v>
      </c>
    </row>
    <row r="4" spans="1:21" s="82" customFormat="1" ht="17.25" thickTop="1" thickBot="1">
      <c r="A4" s="88" t="s">
        <v>111</v>
      </c>
      <c r="B4" s="89">
        <f>IF($B$2&lt;=600000,$B$2,0)</f>
        <v>0</v>
      </c>
      <c r="C4" s="159" t="str">
        <f>IF(B4&lt;=21000,"0",IF(B4&lt;=30000,(B4*2.5%)-525,IF(B4&lt;=45000,(B4*10%)-2775,IF(B4&lt;=60000,(B4*15%)-5025,IF(B4&lt;=200000,(B4*20%)-8025,IF(B4&lt;=400000,(B4*22.5%)-13025,IF(B4&gt;400000,(B4*25%)-23025,"000")))))))</f>
        <v>0</v>
      </c>
      <c r="D4" s="81"/>
      <c r="E4" s="85">
        <v>1</v>
      </c>
      <c r="F4" s="137">
        <v>0</v>
      </c>
      <c r="G4" s="136" t="s">
        <v>163</v>
      </c>
      <c r="H4" s="138">
        <v>0</v>
      </c>
      <c r="I4" s="138">
        <v>0</v>
      </c>
      <c r="J4" s="138">
        <v>0</v>
      </c>
      <c r="K4" s="138">
        <v>0</v>
      </c>
      <c r="L4" s="138">
        <v>0</v>
      </c>
      <c r="S4" s="27"/>
      <c r="T4" s="27"/>
    </row>
    <row r="5" spans="1:21" ht="27" customHeight="1" thickTop="1" thickBot="1">
      <c r="A5" s="92" t="s">
        <v>112</v>
      </c>
      <c r="B5" s="93">
        <f>IF(AND($B$2&gt;600000,$B$2&lt;=700000),$B$2,0)</f>
        <v>0</v>
      </c>
      <c r="C5" s="94">
        <f>IF(B5&lt;=30000,(B5*2.5%),IF(B5&lt;=45000,(B5*10%)-2250,IF(B5&lt;=60000,(B5*15%)-4500,IF(B5&lt;=200000,(B5*20%)-7500,IF(B5&lt;=400000,(B5*22.5%)-12500,IF(B5&gt;400000,(B5*25%)-22500,"000"))))))</f>
        <v>0</v>
      </c>
      <c r="D5" s="81"/>
      <c r="E5" s="85">
        <f>+E4+1</f>
        <v>2</v>
      </c>
      <c r="F5" s="137">
        <v>2.5000000000000001E-2</v>
      </c>
      <c r="G5" s="136" t="s">
        <v>165</v>
      </c>
      <c r="H5" s="136" t="s">
        <v>137</v>
      </c>
      <c r="I5" s="138">
        <v>0</v>
      </c>
      <c r="J5" s="138">
        <v>0</v>
      </c>
      <c r="K5" s="138">
        <v>0</v>
      </c>
      <c r="L5" s="138">
        <v>0</v>
      </c>
      <c r="S5" s="82"/>
      <c r="T5" s="82"/>
    </row>
    <row r="6" spans="1:21" ht="33.75" customHeight="1" thickTop="1" thickBot="1">
      <c r="A6" s="92" t="s">
        <v>114</v>
      </c>
      <c r="B6" s="93">
        <f>IF(AND($B$2&gt;700000,$B$2&lt;=800000),$B$2,0)</f>
        <v>0</v>
      </c>
      <c r="C6" s="94">
        <f>IF(B6&lt;=45000,(B6*10%),IF(B6&lt;=60000,(B6*15%)-2250,IF(B6&lt;=200000,(B6*20%)-5250,IF(B6&lt;=400000,(B6*22.5%)-10250,IF(B6&gt;400000,(B6*25%)-20250,"000")))))</f>
        <v>0</v>
      </c>
      <c r="D6" s="81"/>
      <c r="E6" s="85">
        <f t="shared" ref="E6:E11" si="1">+E5+1</f>
        <v>3</v>
      </c>
      <c r="F6" s="137">
        <v>0.1</v>
      </c>
      <c r="G6" s="136" t="s">
        <v>128</v>
      </c>
      <c r="H6" s="136" t="s">
        <v>128</v>
      </c>
      <c r="I6" s="136" t="s">
        <v>136</v>
      </c>
      <c r="J6" s="138">
        <v>0</v>
      </c>
      <c r="K6" s="138">
        <v>0</v>
      </c>
      <c r="L6" s="138">
        <v>0</v>
      </c>
    </row>
    <row r="7" spans="1:21" ht="33.75" customHeight="1" thickTop="1" thickBot="1">
      <c r="A7" s="92" t="s">
        <v>113</v>
      </c>
      <c r="B7" s="93">
        <f>IF(AND($B$2&gt;800000,$B$2&lt;=900000),$B$2,0)</f>
        <v>0</v>
      </c>
      <c r="C7" s="94">
        <f>IF(B7&lt;=60000,(B7*15%),IF(B7&lt;=200000,(B7*20%)-3000,IF(B7&lt;=400000,(B7*22.5%)-8000,IF(B7&gt;400000,(B7*25%)-18000,"000"))))</f>
        <v>0</v>
      </c>
      <c r="D7" s="81"/>
      <c r="E7" s="85">
        <f t="shared" si="1"/>
        <v>4</v>
      </c>
      <c r="F7" s="137">
        <v>0.15</v>
      </c>
      <c r="G7" s="136" t="s">
        <v>129</v>
      </c>
      <c r="H7" s="136" t="s">
        <v>129</v>
      </c>
      <c r="I7" s="136" t="s">
        <v>129</v>
      </c>
      <c r="J7" s="136" t="s">
        <v>135</v>
      </c>
      <c r="K7" s="138">
        <v>0</v>
      </c>
      <c r="L7" s="138">
        <v>0</v>
      </c>
    </row>
    <row r="8" spans="1:21" ht="33.75" customHeight="1" thickTop="1" thickBot="1">
      <c r="A8" s="92" t="s">
        <v>168</v>
      </c>
      <c r="B8" s="93">
        <f>IF(AND($B$2&gt;900000,$B$2&lt;=1200000),$B$2,0)</f>
        <v>950000</v>
      </c>
      <c r="C8" s="94">
        <f>IF(B8&lt;=200000,(B8*20%),IF(B8&lt;=400000,(B8*22.5%)-5000,IF(B8&gt;400000,(B8*25%)-15000,"000")))</f>
        <v>222500</v>
      </c>
      <c r="D8" s="81"/>
      <c r="E8" s="85">
        <f t="shared" si="1"/>
        <v>5</v>
      </c>
      <c r="F8" s="137">
        <v>0.2</v>
      </c>
      <c r="G8" s="136" t="s">
        <v>130</v>
      </c>
      <c r="H8" s="136" t="s">
        <v>130</v>
      </c>
      <c r="I8" s="136" t="s">
        <v>130</v>
      </c>
      <c r="J8" s="136" t="s">
        <v>130</v>
      </c>
      <c r="K8" s="136" t="s">
        <v>134</v>
      </c>
      <c r="L8" s="138">
        <v>0</v>
      </c>
    </row>
    <row r="9" spans="1:21" ht="33.75" customHeight="1" thickTop="1" thickBot="1">
      <c r="A9" s="95" t="s">
        <v>169</v>
      </c>
      <c r="B9" s="96">
        <f>IF(1200000&lt;$B$2,$B$2,0)</f>
        <v>0</v>
      </c>
      <c r="C9" s="97">
        <f>IF(B9&lt;=1200000,(B9*25%),IF(B9&gt;1200000,(B9*27.5%)-30000,"000"))</f>
        <v>0</v>
      </c>
      <c r="D9" s="81"/>
      <c r="E9" s="85">
        <f t="shared" si="1"/>
        <v>6</v>
      </c>
      <c r="F9" s="137">
        <v>0.22500000000000001</v>
      </c>
      <c r="G9" s="136" t="s">
        <v>131</v>
      </c>
      <c r="H9" s="136" t="s">
        <v>131</v>
      </c>
      <c r="I9" s="136" t="s">
        <v>131</v>
      </c>
      <c r="J9" s="136" t="s">
        <v>131</v>
      </c>
      <c r="K9" s="136" t="s">
        <v>131</v>
      </c>
      <c r="L9" s="136"/>
    </row>
    <row r="10" spans="1:21" ht="27" thickTop="1" thickBot="1">
      <c r="D10" s="81"/>
      <c r="E10" s="85">
        <f t="shared" si="1"/>
        <v>7</v>
      </c>
      <c r="F10" s="137">
        <v>0.25</v>
      </c>
      <c r="G10" s="136" t="s">
        <v>132</v>
      </c>
      <c r="H10" s="136" t="s">
        <v>132</v>
      </c>
      <c r="I10" s="136" t="s">
        <v>132</v>
      </c>
      <c r="J10" s="136" t="s">
        <v>132</v>
      </c>
      <c r="K10" s="136" t="s">
        <v>132</v>
      </c>
      <c r="L10" s="136" t="s">
        <v>175</v>
      </c>
    </row>
    <row r="11" spans="1:21" ht="27" thickTop="1" thickBot="1">
      <c r="A11" s="27" t="s">
        <v>178</v>
      </c>
      <c r="B11" s="81">
        <f>+B2</f>
        <v>950000</v>
      </c>
      <c r="C11" s="168">
        <f>IF(B11&lt;=21000,0,IF(B11&lt;=30000,(B11*2.5%)-525,IF(B11&lt;=45000,(B11*10%)-2775,IF(B11&lt;=60000,(B11*15%)-5025,IF(B11&lt;=200000,(B11*20%)-8025,IF(B11&lt;=400000,(B11*22.5%)-13025,IF(B11&lt;=600000,(B11*25%)-23025,IF(B11&lt;=700000,(B11*25%)-22500,IF(B11&lt;=800000,(B11*25%)-20250,IF(B11&lt;=900000,(B11*25%)-18000,IF(B11&lt;=1200000,(B11*25%)-15000,IF(B11&gt;1200000,(B11*27.5%)-30000,"000"))))))))))))</f>
        <v>222500</v>
      </c>
      <c r="D11" s="81"/>
      <c r="E11" s="85">
        <f t="shared" si="1"/>
        <v>8</v>
      </c>
      <c r="F11" s="137">
        <v>0.27500000000000002</v>
      </c>
      <c r="G11" s="136"/>
      <c r="H11" s="136"/>
      <c r="I11" s="136"/>
      <c r="J11" s="136"/>
      <c r="K11" s="136"/>
      <c r="L11" s="146" t="s">
        <v>166</v>
      </c>
    </row>
    <row r="12" spans="1:21" ht="16.5" thickTop="1">
      <c r="D12" s="81"/>
    </row>
    <row r="13" spans="1:21" ht="15.75" customHeight="1" thickBot="1">
      <c r="D13" s="81"/>
      <c r="F13" s="158"/>
      <c r="G13" s="208" t="s">
        <v>157</v>
      </c>
      <c r="H13" s="208"/>
      <c r="I13" s="208"/>
      <c r="J13" s="208"/>
      <c r="K13" s="208"/>
    </row>
    <row r="14" spans="1:21" ht="15.75" customHeight="1" thickTop="1" thickBot="1">
      <c r="A14" s="27" t="s">
        <v>179</v>
      </c>
      <c r="B14" s="81">
        <f>+B11+15000</f>
        <v>965000</v>
      </c>
      <c r="C14" s="168">
        <f>IF(B14&lt;=36000,0,IF(B14&lt;=45000,(B14*2.5%)-900,IF(B14&lt;=60000,(B14*10%)-4275,IF(B14&lt;=75000,(B14*15%)-7275,IF(B14&lt;=215000,(B14*20%)-11025,IF(B14&lt;=415000,(B14*22.5%)-16400,IF(B14&lt;=615000,(B14*25%)-26775,IF(B14&lt;=715000,(B14*25%)-26250,IF(B14&lt;=815000,(B14*25%)-24000,IF(B14&lt;=915000,(B14*25%)-21750,IF(B14&lt;=1215000,(B14*25%)-18750,IF(B14&gt;1215000,(B14*27.5%)-34125,"000"))))))))))))</f>
        <v>222500</v>
      </c>
      <c r="D14" s="81"/>
      <c r="G14" s="208"/>
      <c r="H14" s="208"/>
      <c r="I14" s="208"/>
      <c r="J14" s="208"/>
      <c r="K14" s="208"/>
    </row>
    <row r="15" spans="1:21" ht="16.5" customHeight="1" thickTop="1">
      <c r="D15" s="81"/>
      <c r="G15" s="208"/>
      <c r="H15" s="208"/>
      <c r="I15" s="208"/>
      <c r="J15" s="208"/>
      <c r="K15" s="208"/>
      <c r="M15"/>
      <c r="U15"/>
    </row>
    <row r="16" spans="1:21" ht="17.25" customHeight="1">
      <c r="C16" s="81"/>
      <c r="D16" s="81"/>
      <c r="G16" s="208"/>
      <c r="H16" s="208"/>
      <c r="I16" s="208"/>
      <c r="J16" s="208"/>
      <c r="K16" s="208"/>
      <c r="L16"/>
      <c r="M16"/>
      <c r="N16"/>
      <c r="O16"/>
      <c r="P16"/>
      <c r="Q16"/>
      <c r="R16"/>
      <c r="S16"/>
      <c r="T16"/>
      <c r="U16"/>
    </row>
    <row r="17" spans="3:21" ht="15.75" customHeight="1">
      <c r="C17" s="81"/>
      <c r="D17" s="81"/>
      <c r="F17" s="158"/>
      <c r="G17" s="208"/>
      <c r="H17" s="208"/>
      <c r="I17" s="208"/>
      <c r="J17" s="208"/>
      <c r="K17" s="208"/>
      <c r="L17"/>
      <c r="M17"/>
      <c r="N17"/>
      <c r="O17"/>
      <c r="P17"/>
      <c r="Q17"/>
      <c r="R17"/>
      <c r="S17"/>
      <c r="T17"/>
      <c r="U17"/>
    </row>
    <row r="18" spans="3:21">
      <c r="C18" s="81"/>
      <c r="D18" s="81"/>
      <c r="G18"/>
      <c r="H18"/>
      <c r="I18"/>
      <c r="J18"/>
      <c r="K18"/>
      <c r="L18"/>
      <c r="M18"/>
      <c r="N18"/>
      <c r="O18"/>
      <c r="P18"/>
      <c r="Q18"/>
      <c r="R18"/>
      <c r="S18"/>
      <c r="T18"/>
      <c r="U18"/>
    </row>
    <row r="19" spans="3:21">
      <c r="C19" s="81"/>
      <c r="D19" s="81"/>
      <c r="F19" s="213" t="s">
        <v>177</v>
      </c>
      <c r="G19" s="224"/>
      <c r="H19" s="224"/>
      <c r="I19" s="224"/>
      <c r="J19" s="224"/>
      <c r="K19" s="224"/>
      <c r="L19" s="224"/>
      <c r="M19"/>
      <c r="N19"/>
      <c r="O19"/>
      <c r="P19"/>
      <c r="Q19"/>
      <c r="R19"/>
      <c r="S19"/>
      <c r="T19"/>
      <c r="U19"/>
    </row>
    <row r="20" spans="3:21">
      <c r="C20" s="81"/>
      <c r="D20" s="81"/>
      <c r="F20" s="224"/>
      <c r="G20" s="224"/>
      <c r="H20" s="224"/>
      <c r="I20" s="224"/>
      <c r="J20" s="224"/>
      <c r="K20" s="224"/>
      <c r="L20" s="224"/>
      <c r="M20"/>
      <c r="N20"/>
      <c r="O20"/>
      <c r="P20"/>
      <c r="Q20"/>
      <c r="R20"/>
      <c r="S20"/>
      <c r="T20"/>
    </row>
    <row r="21" spans="3:21">
      <c r="C21" s="81"/>
      <c r="D21" s="81"/>
      <c r="F21" s="224"/>
      <c r="G21" s="224"/>
      <c r="H21" s="224"/>
      <c r="I21" s="224"/>
      <c r="J21" s="224"/>
      <c r="K21" s="224"/>
      <c r="L21" s="224"/>
      <c r="M21"/>
      <c r="N21"/>
      <c r="O21"/>
      <c r="P21"/>
      <c r="Q21"/>
      <c r="R21"/>
      <c r="S21"/>
      <c r="T21"/>
    </row>
    <row r="22" spans="3:21" ht="18.75">
      <c r="C22" s="81"/>
      <c r="F22" s="225" t="s">
        <v>176</v>
      </c>
      <c r="G22" s="225"/>
      <c r="H22" s="225"/>
      <c r="I22" s="225"/>
      <c r="J22" s="225"/>
      <c r="K22" s="225"/>
      <c r="L22" s="225"/>
      <c r="M22"/>
      <c r="N22"/>
      <c r="O22"/>
      <c r="P22"/>
      <c r="Q22"/>
      <c r="R22"/>
      <c r="S22"/>
      <c r="T22"/>
    </row>
    <row r="23" spans="3:21">
      <c r="F23"/>
      <c r="G23"/>
      <c r="H23"/>
      <c r="I23"/>
      <c r="J23"/>
      <c r="K23"/>
      <c r="L23"/>
      <c r="M23"/>
      <c r="N23"/>
      <c r="O23"/>
      <c r="P23"/>
      <c r="Q23"/>
      <c r="R23"/>
      <c r="S23"/>
      <c r="T23"/>
    </row>
    <row r="24" spans="3:21">
      <c r="F24" s="81"/>
      <c r="G24"/>
      <c r="H24"/>
      <c r="I24"/>
      <c r="J24"/>
      <c r="K24"/>
      <c r="L24"/>
      <c r="M24"/>
      <c r="N24"/>
      <c r="O24"/>
      <c r="P24"/>
      <c r="Q24"/>
      <c r="R24"/>
      <c r="S24"/>
      <c r="T24"/>
    </row>
    <row r="25" spans="3:21">
      <c r="F25" s="81"/>
      <c r="G25"/>
      <c r="H25"/>
      <c r="I25"/>
      <c r="J25"/>
      <c r="K25"/>
      <c r="L25"/>
      <c r="M25"/>
      <c r="N25"/>
      <c r="O25"/>
      <c r="P25"/>
      <c r="Q25"/>
      <c r="R25"/>
      <c r="S25"/>
      <c r="T25"/>
      <c r="U25"/>
    </row>
    <row r="26" spans="3:21">
      <c r="F26" s="81"/>
      <c r="G26"/>
      <c r="H26"/>
      <c r="I26"/>
      <c r="J26"/>
      <c r="K26"/>
      <c r="L26"/>
      <c r="M26"/>
      <c r="N26"/>
      <c r="O26"/>
      <c r="P26"/>
      <c r="Q26"/>
      <c r="R26"/>
      <c r="S26"/>
      <c r="T26"/>
      <c r="U26"/>
    </row>
    <row r="27" spans="3:21">
      <c r="G27"/>
      <c r="H27"/>
      <c r="I27"/>
      <c r="J27"/>
      <c r="K27"/>
      <c r="L27"/>
      <c r="M27"/>
      <c r="N27"/>
      <c r="O27"/>
      <c r="P27"/>
      <c r="Q27"/>
      <c r="R27"/>
      <c r="S27"/>
      <c r="T27"/>
      <c r="U27"/>
    </row>
    <row r="28" spans="3:21">
      <c r="G28"/>
      <c r="H28"/>
      <c r="I28"/>
      <c r="J28"/>
      <c r="K28"/>
      <c r="L28"/>
      <c r="M28"/>
      <c r="N28"/>
      <c r="O28"/>
      <c r="P28"/>
      <c r="Q28"/>
      <c r="R28"/>
      <c r="S28"/>
      <c r="T28"/>
      <c r="U28"/>
    </row>
    <row r="29" spans="3:21">
      <c r="G29"/>
      <c r="H29"/>
      <c r="I29"/>
      <c r="J29"/>
      <c r="K29"/>
      <c r="L29"/>
      <c r="M29"/>
      <c r="N29"/>
      <c r="O29"/>
      <c r="P29"/>
      <c r="Q29"/>
      <c r="R29"/>
      <c r="S29"/>
      <c r="T29"/>
      <c r="U29"/>
    </row>
    <row r="30" spans="3:21">
      <c r="G30"/>
      <c r="H30"/>
      <c r="I30"/>
      <c r="J30"/>
      <c r="K30"/>
      <c r="L30"/>
      <c r="M30"/>
      <c r="N30"/>
      <c r="O30"/>
      <c r="P30"/>
      <c r="Q30"/>
      <c r="R30"/>
      <c r="S30"/>
      <c r="T30"/>
      <c r="U30"/>
    </row>
    <row r="31" spans="3:21">
      <c r="G31"/>
      <c r="H31"/>
      <c r="I31"/>
      <c r="J31"/>
      <c r="K31"/>
      <c r="L31"/>
      <c r="M31"/>
      <c r="N31"/>
      <c r="O31"/>
      <c r="P31"/>
      <c r="Q31"/>
      <c r="R31"/>
      <c r="S31"/>
      <c r="T31"/>
      <c r="U31"/>
    </row>
    <row r="32" spans="3:21">
      <c r="G32"/>
      <c r="H32"/>
      <c r="I32"/>
      <c r="J32"/>
      <c r="K32"/>
      <c r="L32"/>
      <c r="M32"/>
      <c r="N32"/>
      <c r="O32"/>
      <c r="P32"/>
      <c r="Q32"/>
      <c r="R32"/>
      <c r="S32"/>
      <c r="T32"/>
      <c r="U32"/>
    </row>
    <row r="33" spans="7:21">
      <c r="G33"/>
      <c r="H33"/>
      <c r="I33"/>
      <c r="J33"/>
      <c r="K33"/>
      <c r="L33"/>
      <c r="M33"/>
      <c r="N33"/>
      <c r="O33"/>
      <c r="P33"/>
      <c r="Q33"/>
      <c r="R33"/>
      <c r="S33"/>
      <c r="T33"/>
      <c r="U33"/>
    </row>
    <row r="34" spans="7:21">
      <c r="G34"/>
      <c r="H34"/>
      <c r="I34"/>
      <c r="J34"/>
      <c r="K34"/>
      <c r="L34"/>
      <c r="M34"/>
      <c r="N34"/>
      <c r="O34"/>
      <c r="P34"/>
      <c r="Q34"/>
      <c r="R34"/>
      <c r="S34"/>
      <c r="T34"/>
      <c r="U34"/>
    </row>
    <row r="35" spans="7:21">
      <c r="G35"/>
      <c r="H35"/>
      <c r="I35"/>
      <c r="J35"/>
      <c r="K35"/>
      <c r="L35"/>
      <c r="M35"/>
      <c r="N35"/>
      <c r="O35"/>
      <c r="P35"/>
      <c r="Q35"/>
      <c r="R35"/>
      <c r="S35"/>
      <c r="T35"/>
      <c r="U35"/>
    </row>
    <row r="36" spans="7:21">
      <c r="G36"/>
      <c r="H36"/>
      <c r="I36"/>
      <c r="J36"/>
      <c r="K36"/>
      <c r="L36"/>
      <c r="M36"/>
      <c r="N36"/>
      <c r="O36"/>
      <c r="P36"/>
      <c r="Q36"/>
      <c r="R36"/>
      <c r="S36"/>
      <c r="T36"/>
      <c r="U36"/>
    </row>
    <row r="37" spans="7:21">
      <c r="G37"/>
      <c r="H37"/>
      <c r="I37"/>
      <c r="J37"/>
      <c r="K37"/>
      <c r="L37"/>
      <c r="M37"/>
      <c r="N37"/>
      <c r="O37"/>
      <c r="P37"/>
      <c r="Q37"/>
      <c r="R37"/>
      <c r="S37"/>
      <c r="T37"/>
      <c r="U37"/>
    </row>
    <row r="38" spans="7:21">
      <c r="G38"/>
      <c r="H38"/>
      <c r="I38"/>
      <c r="J38"/>
      <c r="K38"/>
      <c r="L38"/>
      <c r="M38"/>
      <c r="N38"/>
      <c r="O38"/>
      <c r="P38"/>
      <c r="Q38"/>
      <c r="R38"/>
      <c r="S38"/>
      <c r="T38"/>
      <c r="U38"/>
    </row>
    <row r="39" spans="7:21">
      <c r="G39"/>
      <c r="H39"/>
      <c r="I39"/>
      <c r="J39"/>
      <c r="K39"/>
      <c r="L39"/>
      <c r="M39"/>
      <c r="N39"/>
      <c r="O39"/>
      <c r="P39"/>
      <c r="Q39"/>
      <c r="R39"/>
      <c r="S39"/>
      <c r="T39"/>
      <c r="U39"/>
    </row>
    <row r="40" spans="7:21">
      <c r="G40"/>
      <c r="H40"/>
      <c r="I40"/>
      <c r="J40"/>
      <c r="K40"/>
      <c r="L40"/>
      <c r="M40"/>
      <c r="N40"/>
      <c r="O40"/>
      <c r="P40"/>
      <c r="Q40"/>
      <c r="R40"/>
      <c r="S40"/>
      <c r="T40"/>
      <c r="U40"/>
    </row>
    <row r="41" spans="7:21">
      <c r="G41"/>
      <c r="H41"/>
      <c r="I41"/>
      <c r="J41"/>
      <c r="K41"/>
      <c r="L41"/>
      <c r="N41"/>
      <c r="O41"/>
      <c r="P41"/>
      <c r="Q41"/>
      <c r="R41"/>
      <c r="S41"/>
      <c r="T41"/>
    </row>
  </sheetData>
  <mergeCells count="5">
    <mergeCell ref="G1:K1"/>
    <mergeCell ref="G13:K17"/>
    <mergeCell ref="A1:C1"/>
    <mergeCell ref="F19:L21"/>
    <mergeCell ref="F22:L22"/>
  </mergeCells>
  <hyperlinks>
    <hyperlink ref="F22" r:id="rId1" xr:uid="{B955C88F-0DF0-4EE5-B853-58DA22A1DAF2}"/>
  </hyperlinks>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37"/>
  <sheetViews>
    <sheetView rightToLeft="1" zoomScale="80" zoomScaleNormal="80" workbookViewId="0">
      <selection activeCell="F4" sqref="F4"/>
    </sheetView>
  </sheetViews>
  <sheetFormatPr defaultRowHeight="15.75"/>
  <cols>
    <col min="1" max="1" width="27" style="27" bestFit="1" customWidth="1"/>
    <col min="2" max="2" width="27.42578125" style="27" bestFit="1" customWidth="1"/>
    <col min="3" max="3" width="22.85546875" style="27" bestFit="1" customWidth="1"/>
    <col min="4" max="4" width="2.140625" style="27" bestFit="1" customWidth="1"/>
    <col min="5" max="5" width="8.42578125" style="27" bestFit="1" customWidth="1"/>
    <col min="6" max="6" width="22.85546875" style="27" bestFit="1" customWidth="1"/>
    <col min="7" max="7" width="26.7109375" style="27" bestFit="1" customWidth="1"/>
    <col min="8" max="9" width="22.85546875" style="27" bestFit="1" customWidth="1"/>
    <col min="10" max="10" width="25.28515625" style="27" bestFit="1" customWidth="1"/>
    <col min="11" max="11" width="16.7109375" style="27" bestFit="1" customWidth="1"/>
    <col min="12" max="12" width="2.42578125" style="27" customWidth="1"/>
    <col min="13" max="13" width="9.140625" style="27"/>
    <col min="14" max="14" width="13.7109375" style="27" bestFit="1" customWidth="1"/>
    <col min="15" max="15" width="12.42578125" style="27" bestFit="1" customWidth="1"/>
    <col min="16" max="16" width="9.140625" style="27"/>
    <col min="17" max="17" width="13.7109375" style="27" bestFit="1" customWidth="1"/>
    <col min="18" max="18" width="9.140625" style="27"/>
    <col min="19" max="19" width="12.42578125" style="27" bestFit="1" customWidth="1"/>
    <col min="20" max="238" width="9.140625" style="27"/>
    <col min="239" max="239" width="14.7109375" style="27" bestFit="1" customWidth="1"/>
    <col min="240" max="240" width="16" style="27" customWidth="1"/>
    <col min="241" max="241" width="12.85546875" style="27" bestFit="1" customWidth="1"/>
    <col min="242" max="243" width="10.140625" style="27" bestFit="1" customWidth="1"/>
    <col min="244" max="244" width="22.42578125" style="27" bestFit="1" customWidth="1"/>
    <col min="245" max="245" width="14" style="27" customWidth="1"/>
    <col min="246" max="246" width="4.85546875" style="27" bestFit="1" customWidth="1"/>
    <col min="247" max="247" width="9.42578125" style="27" customWidth="1"/>
    <col min="248" max="248" width="12.42578125" style="27" bestFit="1" customWidth="1"/>
    <col min="249" max="249" width="7.85546875" style="27" bestFit="1" customWidth="1"/>
    <col min="250" max="250" width="5.85546875" style="27" bestFit="1" customWidth="1"/>
    <col min="251" max="251" width="6.140625" style="27" bestFit="1" customWidth="1"/>
    <col min="252" max="252" width="4.42578125" style="27" bestFit="1" customWidth="1"/>
    <col min="253" max="253" width="6.85546875" style="27" bestFit="1" customWidth="1"/>
    <col min="254" max="254" width="4.42578125" style="27" bestFit="1" customWidth="1"/>
    <col min="255" max="255" width="8.42578125" style="27" bestFit="1" customWidth="1"/>
    <col min="256" max="256" width="1.85546875" style="27" bestFit="1" customWidth="1"/>
    <col min="257" max="257" width="9.85546875" style="27" bestFit="1" customWidth="1"/>
    <col min="258" max="259" width="9.140625" style="27"/>
    <col min="260" max="260" width="20.42578125" style="27" bestFit="1" customWidth="1"/>
    <col min="261" max="261" width="9.85546875" style="27" bestFit="1" customWidth="1"/>
    <col min="262" max="494" width="9.140625" style="27"/>
    <col min="495" max="495" width="14.7109375" style="27" bestFit="1" customWidth="1"/>
    <col min="496" max="496" width="16" style="27" customWidth="1"/>
    <col min="497" max="497" width="12.85546875" style="27" bestFit="1" customWidth="1"/>
    <col min="498" max="499" width="10.140625" style="27" bestFit="1" customWidth="1"/>
    <col min="500" max="500" width="22.42578125" style="27" bestFit="1" customWidth="1"/>
    <col min="501" max="501" width="14" style="27" customWidth="1"/>
    <col min="502" max="502" width="4.85546875" style="27" bestFit="1" customWidth="1"/>
    <col min="503" max="503" width="9.42578125" style="27" customWidth="1"/>
    <col min="504" max="504" width="12.42578125" style="27" bestFit="1" customWidth="1"/>
    <col min="505" max="505" width="7.85546875" style="27" bestFit="1" customWidth="1"/>
    <col min="506" max="506" width="5.85546875" style="27" bestFit="1" customWidth="1"/>
    <col min="507" max="507" width="6.140625" style="27" bestFit="1" customWidth="1"/>
    <col min="508" max="508" width="4.42578125" style="27" bestFit="1" customWidth="1"/>
    <col min="509" max="509" width="6.85546875" style="27" bestFit="1" customWidth="1"/>
    <col min="510" max="510" width="4.42578125" style="27" bestFit="1" customWidth="1"/>
    <col min="511" max="511" width="8.42578125" style="27" bestFit="1" customWidth="1"/>
    <col min="512" max="512" width="1.85546875" style="27" bestFit="1" customWidth="1"/>
    <col min="513" max="513" width="9.85546875" style="27" bestFit="1" customWidth="1"/>
    <col min="514" max="515" width="9.140625" style="27"/>
    <col min="516" max="516" width="20.42578125" style="27" bestFit="1" customWidth="1"/>
    <col min="517" max="517" width="9.85546875" style="27" bestFit="1" customWidth="1"/>
    <col min="518" max="750" width="9.140625" style="27"/>
    <col min="751" max="751" width="14.7109375" style="27" bestFit="1" customWidth="1"/>
    <col min="752" max="752" width="16" style="27" customWidth="1"/>
    <col min="753" max="753" width="12.85546875" style="27" bestFit="1" customWidth="1"/>
    <col min="754" max="755" width="10.140625" style="27" bestFit="1" customWidth="1"/>
    <col min="756" max="756" width="22.42578125" style="27" bestFit="1" customWidth="1"/>
    <col min="757" max="757" width="14" style="27" customWidth="1"/>
    <col min="758" max="758" width="4.85546875" style="27" bestFit="1" customWidth="1"/>
    <col min="759" max="759" width="9.42578125" style="27" customWidth="1"/>
    <col min="760" max="760" width="12.42578125" style="27" bestFit="1" customWidth="1"/>
    <col min="761" max="761" width="7.85546875" style="27" bestFit="1" customWidth="1"/>
    <col min="762" max="762" width="5.85546875" style="27" bestFit="1" customWidth="1"/>
    <col min="763" max="763" width="6.140625" style="27" bestFit="1" customWidth="1"/>
    <col min="764" max="764" width="4.42578125" style="27" bestFit="1" customWidth="1"/>
    <col min="765" max="765" width="6.85546875" style="27" bestFit="1" customWidth="1"/>
    <col min="766" max="766" width="4.42578125" style="27" bestFit="1" customWidth="1"/>
    <col min="767" max="767" width="8.42578125" style="27" bestFit="1" customWidth="1"/>
    <col min="768" max="768" width="1.85546875" style="27" bestFit="1" customWidth="1"/>
    <col min="769" max="769" width="9.85546875" style="27" bestFit="1" customWidth="1"/>
    <col min="770" max="771" width="9.140625" style="27"/>
    <col min="772" max="772" width="20.42578125" style="27" bestFit="1" customWidth="1"/>
    <col min="773" max="773" width="9.85546875" style="27" bestFit="1" customWidth="1"/>
    <col min="774" max="1006" width="9.140625" style="27"/>
    <col min="1007" max="1007" width="14.7109375" style="27" bestFit="1" customWidth="1"/>
    <col min="1008" max="1008" width="16" style="27" customWidth="1"/>
    <col min="1009" max="1009" width="12.85546875" style="27" bestFit="1" customWidth="1"/>
    <col min="1010" max="1011" width="10.140625" style="27" bestFit="1" customWidth="1"/>
    <col min="1012" max="1012" width="22.42578125" style="27" bestFit="1" customWidth="1"/>
    <col min="1013" max="1013" width="14" style="27" customWidth="1"/>
    <col min="1014" max="1014" width="4.85546875" style="27" bestFit="1" customWidth="1"/>
    <col min="1015" max="1015" width="9.42578125" style="27" customWidth="1"/>
    <col min="1016" max="1016" width="12.42578125" style="27" bestFit="1" customWidth="1"/>
    <col min="1017" max="1017" width="7.85546875" style="27" bestFit="1" customWidth="1"/>
    <col min="1018" max="1018" width="5.85546875" style="27" bestFit="1" customWidth="1"/>
    <col min="1019" max="1019" width="6.140625" style="27" bestFit="1" customWidth="1"/>
    <col min="1020" max="1020" width="4.42578125" style="27" bestFit="1" customWidth="1"/>
    <col min="1021" max="1021" width="6.85546875" style="27" bestFit="1" customWidth="1"/>
    <col min="1022" max="1022" width="4.42578125" style="27" bestFit="1" customWidth="1"/>
    <col min="1023" max="1023" width="8.42578125" style="27" bestFit="1" customWidth="1"/>
    <col min="1024" max="1024" width="1.85546875" style="27" bestFit="1" customWidth="1"/>
    <col min="1025" max="1025" width="9.85546875" style="27" bestFit="1" customWidth="1"/>
    <col min="1026" max="1027" width="9.140625" style="27"/>
    <col min="1028" max="1028" width="20.42578125" style="27" bestFit="1" customWidth="1"/>
    <col min="1029" max="1029" width="9.85546875" style="27" bestFit="1" customWidth="1"/>
    <col min="1030" max="1262" width="9.140625" style="27"/>
    <col min="1263" max="1263" width="14.7109375" style="27" bestFit="1" customWidth="1"/>
    <col min="1264" max="1264" width="16" style="27" customWidth="1"/>
    <col min="1265" max="1265" width="12.85546875" style="27" bestFit="1" customWidth="1"/>
    <col min="1266" max="1267" width="10.140625" style="27" bestFit="1" customWidth="1"/>
    <col min="1268" max="1268" width="22.42578125" style="27" bestFit="1" customWidth="1"/>
    <col min="1269" max="1269" width="14" style="27" customWidth="1"/>
    <col min="1270" max="1270" width="4.85546875" style="27" bestFit="1" customWidth="1"/>
    <col min="1271" max="1271" width="9.42578125" style="27" customWidth="1"/>
    <col min="1272" max="1272" width="12.42578125" style="27" bestFit="1" customWidth="1"/>
    <col min="1273" max="1273" width="7.85546875" style="27" bestFit="1" customWidth="1"/>
    <col min="1274" max="1274" width="5.85546875" style="27" bestFit="1" customWidth="1"/>
    <col min="1275" max="1275" width="6.140625" style="27" bestFit="1" customWidth="1"/>
    <col min="1276" max="1276" width="4.42578125" style="27" bestFit="1" customWidth="1"/>
    <col min="1277" max="1277" width="6.85546875" style="27" bestFit="1" customWidth="1"/>
    <col min="1278" max="1278" width="4.42578125" style="27" bestFit="1" customWidth="1"/>
    <col min="1279" max="1279" width="8.42578125" style="27" bestFit="1" customWidth="1"/>
    <col min="1280" max="1280" width="1.85546875" style="27" bestFit="1" customWidth="1"/>
    <col min="1281" max="1281" width="9.85546875" style="27" bestFit="1" customWidth="1"/>
    <col min="1282" max="1283" width="9.140625" style="27"/>
    <col min="1284" max="1284" width="20.42578125" style="27" bestFit="1" customWidth="1"/>
    <col min="1285" max="1285" width="9.85546875" style="27" bestFit="1" customWidth="1"/>
    <col min="1286" max="1518" width="9.140625" style="27"/>
    <col min="1519" max="1519" width="14.7109375" style="27" bestFit="1" customWidth="1"/>
    <col min="1520" max="1520" width="16" style="27" customWidth="1"/>
    <col min="1521" max="1521" width="12.85546875" style="27" bestFit="1" customWidth="1"/>
    <col min="1522" max="1523" width="10.140625" style="27" bestFit="1" customWidth="1"/>
    <col min="1524" max="1524" width="22.42578125" style="27" bestFit="1" customWidth="1"/>
    <col min="1525" max="1525" width="14" style="27" customWidth="1"/>
    <col min="1526" max="1526" width="4.85546875" style="27" bestFit="1" customWidth="1"/>
    <col min="1527" max="1527" width="9.42578125" style="27" customWidth="1"/>
    <col min="1528" max="1528" width="12.42578125" style="27" bestFit="1" customWidth="1"/>
    <col min="1529" max="1529" width="7.85546875" style="27" bestFit="1" customWidth="1"/>
    <col min="1530" max="1530" width="5.85546875" style="27" bestFit="1" customWidth="1"/>
    <col min="1531" max="1531" width="6.140625" style="27" bestFit="1" customWidth="1"/>
    <col min="1532" max="1532" width="4.42578125" style="27" bestFit="1" customWidth="1"/>
    <col min="1533" max="1533" width="6.85546875" style="27" bestFit="1" customWidth="1"/>
    <col min="1534" max="1534" width="4.42578125" style="27" bestFit="1" customWidth="1"/>
    <col min="1535" max="1535" width="8.42578125" style="27" bestFit="1" customWidth="1"/>
    <col min="1536" max="1536" width="1.85546875" style="27" bestFit="1" customWidth="1"/>
    <col min="1537" max="1537" width="9.85546875" style="27" bestFit="1" customWidth="1"/>
    <col min="1538" max="1539" width="9.140625" style="27"/>
    <col min="1540" max="1540" width="20.42578125" style="27" bestFit="1" customWidth="1"/>
    <col min="1541" max="1541" width="9.85546875" style="27" bestFit="1" customWidth="1"/>
    <col min="1542" max="1774" width="9.140625" style="27"/>
    <col min="1775" max="1775" width="14.7109375" style="27" bestFit="1" customWidth="1"/>
    <col min="1776" max="1776" width="16" style="27" customWidth="1"/>
    <col min="1777" max="1777" width="12.85546875" style="27" bestFit="1" customWidth="1"/>
    <col min="1778" max="1779" width="10.140625" style="27" bestFit="1" customWidth="1"/>
    <col min="1780" max="1780" width="22.42578125" style="27" bestFit="1" customWidth="1"/>
    <col min="1781" max="1781" width="14" style="27" customWidth="1"/>
    <col min="1782" max="1782" width="4.85546875" style="27" bestFit="1" customWidth="1"/>
    <col min="1783" max="1783" width="9.42578125" style="27" customWidth="1"/>
    <col min="1784" max="1784" width="12.42578125" style="27" bestFit="1" customWidth="1"/>
    <col min="1785" max="1785" width="7.85546875" style="27" bestFit="1" customWidth="1"/>
    <col min="1786" max="1786" width="5.85546875" style="27" bestFit="1" customWidth="1"/>
    <col min="1787" max="1787" width="6.140625" style="27" bestFit="1" customWidth="1"/>
    <col min="1788" max="1788" width="4.42578125" style="27" bestFit="1" customWidth="1"/>
    <col min="1789" max="1789" width="6.85546875" style="27" bestFit="1" customWidth="1"/>
    <col min="1790" max="1790" width="4.42578125" style="27" bestFit="1" customWidth="1"/>
    <col min="1791" max="1791" width="8.42578125" style="27" bestFit="1" customWidth="1"/>
    <col min="1792" max="1792" width="1.85546875" style="27" bestFit="1" customWidth="1"/>
    <col min="1793" max="1793" width="9.85546875" style="27" bestFit="1" customWidth="1"/>
    <col min="1794" max="1795" width="9.140625" style="27"/>
    <col min="1796" max="1796" width="20.42578125" style="27" bestFit="1" customWidth="1"/>
    <col min="1797" max="1797" width="9.85546875" style="27" bestFit="1" customWidth="1"/>
    <col min="1798" max="2030" width="9.140625" style="27"/>
    <col min="2031" max="2031" width="14.7109375" style="27" bestFit="1" customWidth="1"/>
    <col min="2032" max="2032" width="16" style="27" customWidth="1"/>
    <col min="2033" max="2033" width="12.85546875" style="27" bestFit="1" customWidth="1"/>
    <col min="2034" max="2035" width="10.140625" style="27" bestFit="1" customWidth="1"/>
    <col min="2036" max="2036" width="22.42578125" style="27" bestFit="1" customWidth="1"/>
    <col min="2037" max="2037" width="14" style="27" customWidth="1"/>
    <col min="2038" max="2038" width="4.85546875" style="27" bestFit="1" customWidth="1"/>
    <col min="2039" max="2039" width="9.42578125" style="27" customWidth="1"/>
    <col min="2040" max="2040" width="12.42578125" style="27" bestFit="1" customWidth="1"/>
    <col min="2041" max="2041" width="7.85546875" style="27" bestFit="1" customWidth="1"/>
    <col min="2042" max="2042" width="5.85546875" style="27" bestFit="1" customWidth="1"/>
    <col min="2043" max="2043" width="6.140625" style="27" bestFit="1" customWidth="1"/>
    <col min="2044" max="2044" width="4.42578125" style="27" bestFit="1" customWidth="1"/>
    <col min="2045" max="2045" width="6.85546875" style="27" bestFit="1" customWidth="1"/>
    <col min="2046" max="2046" width="4.42578125" style="27" bestFit="1" customWidth="1"/>
    <col min="2047" max="2047" width="8.42578125" style="27" bestFit="1" customWidth="1"/>
    <col min="2048" max="2048" width="1.85546875" style="27" bestFit="1" customWidth="1"/>
    <col min="2049" max="2049" width="9.85546875" style="27" bestFit="1" customWidth="1"/>
    <col min="2050" max="2051" width="9.140625" style="27"/>
    <col min="2052" max="2052" width="20.42578125" style="27" bestFit="1" customWidth="1"/>
    <col min="2053" max="2053" width="9.85546875" style="27" bestFit="1" customWidth="1"/>
    <col min="2054" max="2286" width="9.140625" style="27"/>
    <col min="2287" max="2287" width="14.7109375" style="27" bestFit="1" customWidth="1"/>
    <col min="2288" max="2288" width="16" style="27" customWidth="1"/>
    <col min="2289" max="2289" width="12.85546875" style="27" bestFit="1" customWidth="1"/>
    <col min="2290" max="2291" width="10.140625" style="27" bestFit="1" customWidth="1"/>
    <col min="2292" max="2292" width="22.42578125" style="27" bestFit="1" customWidth="1"/>
    <col min="2293" max="2293" width="14" style="27" customWidth="1"/>
    <col min="2294" max="2294" width="4.85546875" style="27" bestFit="1" customWidth="1"/>
    <col min="2295" max="2295" width="9.42578125" style="27" customWidth="1"/>
    <col min="2296" max="2296" width="12.42578125" style="27" bestFit="1" customWidth="1"/>
    <col min="2297" max="2297" width="7.85546875" style="27" bestFit="1" customWidth="1"/>
    <col min="2298" max="2298" width="5.85546875" style="27" bestFit="1" customWidth="1"/>
    <col min="2299" max="2299" width="6.140625" style="27" bestFit="1" customWidth="1"/>
    <col min="2300" max="2300" width="4.42578125" style="27" bestFit="1" customWidth="1"/>
    <col min="2301" max="2301" width="6.85546875" style="27" bestFit="1" customWidth="1"/>
    <col min="2302" max="2302" width="4.42578125" style="27" bestFit="1" customWidth="1"/>
    <col min="2303" max="2303" width="8.42578125" style="27" bestFit="1" customWidth="1"/>
    <col min="2304" max="2304" width="1.85546875" style="27" bestFit="1" customWidth="1"/>
    <col min="2305" max="2305" width="9.85546875" style="27" bestFit="1" customWidth="1"/>
    <col min="2306" max="2307" width="9.140625" style="27"/>
    <col min="2308" max="2308" width="20.42578125" style="27" bestFit="1" customWidth="1"/>
    <col min="2309" max="2309" width="9.85546875" style="27" bestFit="1" customWidth="1"/>
    <col min="2310" max="2542" width="9.140625" style="27"/>
    <col min="2543" max="2543" width="14.7109375" style="27" bestFit="1" customWidth="1"/>
    <col min="2544" max="2544" width="16" style="27" customWidth="1"/>
    <col min="2545" max="2545" width="12.85546875" style="27" bestFit="1" customWidth="1"/>
    <col min="2546" max="2547" width="10.140625" style="27" bestFit="1" customWidth="1"/>
    <col min="2548" max="2548" width="22.42578125" style="27" bestFit="1" customWidth="1"/>
    <col min="2549" max="2549" width="14" style="27" customWidth="1"/>
    <col min="2550" max="2550" width="4.85546875" style="27" bestFit="1" customWidth="1"/>
    <col min="2551" max="2551" width="9.42578125" style="27" customWidth="1"/>
    <col min="2552" max="2552" width="12.42578125" style="27" bestFit="1" customWidth="1"/>
    <col min="2553" max="2553" width="7.85546875" style="27" bestFit="1" customWidth="1"/>
    <col min="2554" max="2554" width="5.85546875" style="27" bestFit="1" customWidth="1"/>
    <col min="2555" max="2555" width="6.140625" style="27" bestFit="1" customWidth="1"/>
    <col min="2556" max="2556" width="4.42578125" style="27" bestFit="1" customWidth="1"/>
    <col min="2557" max="2557" width="6.85546875" style="27" bestFit="1" customWidth="1"/>
    <col min="2558" max="2558" width="4.42578125" style="27" bestFit="1" customWidth="1"/>
    <col min="2559" max="2559" width="8.42578125" style="27" bestFit="1" customWidth="1"/>
    <col min="2560" max="2560" width="1.85546875" style="27" bestFit="1" customWidth="1"/>
    <col min="2561" max="2561" width="9.85546875" style="27" bestFit="1" customWidth="1"/>
    <col min="2562" max="2563" width="9.140625" style="27"/>
    <col min="2564" max="2564" width="20.42578125" style="27" bestFit="1" customWidth="1"/>
    <col min="2565" max="2565" width="9.85546875" style="27" bestFit="1" customWidth="1"/>
    <col min="2566" max="2798" width="9.140625" style="27"/>
    <col min="2799" max="2799" width="14.7109375" style="27" bestFit="1" customWidth="1"/>
    <col min="2800" max="2800" width="16" style="27" customWidth="1"/>
    <col min="2801" max="2801" width="12.85546875" style="27" bestFit="1" customWidth="1"/>
    <col min="2802" max="2803" width="10.140625" style="27" bestFit="1" customWidth="1"/>
    <col min="2804" max="2804" width="22.42578125" style="27" bestFit="1" customWidth="1"/>
    <col min="2805" max="2805" width="14" style="27" customWidth="1"/>
    <col min="2806" max="2806" width="4.85546875" style="27" bestFit="1" customWidth="1"/>
    <col min="2807" max="2807" width="9.42578125" style="27" customWidth="1"/>
    <col min="2808" max="2808" width="12.42578125" style="27" bestFit="1" customWidth="1"/>
    <col min="2809" max="2809" width="7.85546875" style="27" bestFit="1" customWidth="1"/>
    <col min="2810" max="2810" width="5.85546875" style="27" bestFit="1" customWidth="1"/>
    <col min="2811" max="2811" width="6.140625" style="27" bestFit="1" customWidth="1"/>
    <col min="2812" max="2812" width="4.42578125" style="27" bestFit="1" customWidth="1"/>
    <col min="2813" max="2813" width="6.85546875" style="27" bestFit="1" customWidth="1"/>
    <col min="2814" max="2814" width="4.42578125" style="27" bestFit="1" customWidth="1"/>
    <col min="2815" max="2815" width="8.42578125" style="27" bestFit="1" customWidth="1"/>
    <col min="2816" max="2816" width="1.85546875" style="27" bestFit="1" customWidth="1"/>
    <col min="2817" max="2817" width="9.85546875" style="27" bestFit="1" customWidth="1"/>
    <col min="2818" max="2819" width="9.140625" style="27"/>
    <col min="2820" max="2820" width="20.42578125" style="27" bestFit="1" customWidth="1"/>
    <col min="2821" max="2821" width="9.85546875" style="27" bestFit="1" customWidth="1"/>
    <col min="2822" max="3054" width="9.140625" style="27"/>
    <col min="3055" max="3055" width="14.7109375" style="27" bestFit="1" customWidth="1"/>
    <col min="3056" max="3056" width="16" style="27" customWidth="1"/>
    <col min="3057" max="3057" width="12.85546875" style="27" bestFit="1" customWidth="1"/>
    <col min="3058" max="3059" width="10.140625" style="27" bestFit="1" customWidth="1"/>
    <col min="3060" max="3060" width="22.42578125" style="27" bestFit="1" customWidth="1"/>
    <col min="3061" max="3061" width="14" style="27" customWidth="1"/>
    <col min="3062" max="3062" width="4.85546875" style="27" bestFit="1" customWidth="1"/>
    <col min="3063" max="3063" width="9.42578125" style="27" customWidth="1"/>
    <col min="3064" max="3064" width="12.42578125" style="27" bestFit="1" customWidth="1"/>
    <col min="3065" max="3065" width="7.85546875" style="27" bestFit="1" customWidth="1"/>
    <col min="3066" max="3066" width="5.85546875" style="27" bestFit="1" customWidth="1"/>
    <col min="3067" max="3067" width="6.140625" style="27" bestFit="1" customWidth="1"/>
    <col min="3068" max="3068" width="4.42578125" style="27" bestFit="1" customWidth="1"/>
    <col min="3069" max="3069" width="6.85546875" style="27" bestFit="1" customWidth="1"/>
    <col min="3070" max="3070" width="4.42578125" style="27" bestFit="1" customWidth="1"/>
    <col min="3071" max="3071" width="8.42578125" style="27" bestFit="1" customWidth="1"/>
    <col min="3072" max="3072" width="1.85546875" style="27" bestFit="1" customWidth="1"/>
    <col min="3073" max="3073" width="9.85546875" style="27" bestFit="1" customWidth="1"/>
    <col min="3074" max="3075" width="9.140625" style="27"/>
    <col min="3076" max="3076" width="20.42578125" style="27" bestFit="1" customWidth="1"/>
    <col min="3077" max="3077" width="9.85546875" style="27" bestFit="1" customWidth="1"/>
    <col min="3078" max="3310" width="9.140625" style="27"/>
    <col min="3311" max="3311" width="14.7109375" style="27" bestFit="1" customWidth="1"/>
    <col min="3312" max="3312" width="16" style="27" customWidth="1"/>
    <col min="3313" max="3313" width="12.85546875" style="27" bestFit="1" customWidth="1"/>
    <col min="3314" max="3315" width="10.140625" style="27" bestFit="1" customWidth="1"/>
    <col min="3316" max="3316" width="22.42578125" style="27" bestFit="1" customWidth="1"/>
    <col min="3317" max="3317" width="14" style="27" customWidth="1"/>
    <col min="3318" max="3318" width="4.85546875" style="27" bestFit="1" customWidth="1"/>
    <col min="3319" max="3319" width="9.42578125" style="27" customWidth="1"/>
    <col min="3320" max="3320" width="12.42578125" style="27" bestFit="1" customWidth="1"/>
    <col min="3321" max="3321" width="7.85546875" style="27" bestFit="1" customWidth="1"/>
    <col min="3322" max="3322" width="5.85546875" style="27" bestFit="1" customWidth="1"/>
    <col min="3323" max="3323" width="6.140625" style="27" bestFit="1" customWidth="1"/>
    <col min="3324" max="3324" width="4.42578125" style="27" bestFit="1" customWidth="1"/>
    <col min="3325" max="3325" width="6.85546875" style="27" bestFit="1" customWidth="1"/>
    <col min="3326" max="3326" width="4.42578125" style="27" bestFit="1" customWidth="1"/>
    <col min="3327" max="3327" width="8.42578125" style="27" bestFit="1" customWidth="1"/>
    <col min="3328" max="3328" width="1.85546875" style="27" bestFit="1" customWidth="1"/>
    <col min="3329" max="3329" width="9.85546875" style="27" bestFit="1" customWidth="1"/>
    <col min="3330" max="3331" width="9.140625" style="27"/>
    <col min="3332" max="3332" width="20.42578125" style="27" bestFit="1" customWidth="1"/>
    <col min="3333" max="3333" width="9.85546875" style="27" bestFit="1" customWidth="1"/>
    <col min="3334" max="3566" width="9.140625" style="27"/>
    <col min="3567" max="3567" width="14.7109375" style="27" bestFit="1" customWidth="1"/>
    <col min="3568" max="3568" width="16" style="27" customWidth="1"/>
    <col min="3569" max="3569" width="12.85546875" style="27" bestFit="1" customWidth="1"/>
    <col min="3570" max="3571" width="10.140625" style="27" bestFit="1" customWidth="1"/>
    <col min="3572" max="3572" width="22.42578125" style="27" bestFit="1" customWidth="1"/>
    <col min="3573" max="3573" width="14" style="27" customWidth="1"/>
    <col min="3574" max="3574" width="4.85546875" style="27" bestFit="1" customWidth="1"/>
    <col min="3575" max="3575" width="9.42578125" style="27" customWidth="1"/>
    <col min="3576" max="3576" width="12.42578125" style="27" bestFit="1" customWidth="1"/>
    <col min="3577" max="3577" width="7.85546875" style="27" bestFit="1" customWidth="1"/>
    <col min="3578" max="3578" width="5.85546875" style="27" bestFit="1" customWidth="1"/>
    <col min="3579" max="3579" width="6.140625" style="27" bestFit="1" customWidth="1"/>
    <col min="3580" max="3580" width="4.42578125" style="27" bestFit="1" customWidth="1"/>
    <col min="3581" max="3581" width="6.85546875" style="27" bestFit="1" customWidth="1"/>
    <col min="3582" max="3582" width="4.42578125" style="27" bestFit="1" customWidth="1"/>
    <col min="3583" max="3583" width="8.42578125" style="27" bestFit="1" customWidth="1"/>
    <col min="3584" max="3584" width="1.85546875" style="27" bestFit="1" customWidth="1"/>
    <col min="3585" max="3585" width="9.85546875" style="27" bestFit="1" customWidth="1"/>
    <col min="3586" max="3587" width="9.140625" style="27"/>
    <col min="3588" max="3588" width="20.42578125" style="27" bestFit="1" customWidth="1"/>
    <col min="3589" max="3589" width="9.85546875" style="27" bestFit="1" customWidth="1"/>
    <col min="3590" max="3822" width="9.140625" style="27"/>
    <col min="3823" max="3823" width="14.7109375" style="27" bestFit="1" customWidth="1"/>
    <col min="3824" max="3824" width="16" style="27" customWidth="1"/>
    <col min="3825" max="3825" width="12.85546875" style="27" bestFit="1" customWidth="1"/>
    <col min="3826" max="3827" width="10.140625" style="27" bestFit="1" customWidth="1"/>
    <col min="3828" max="3828" width="22.42578125" style="27" bestFit="1" customWidth="1"/>
    <col min="3829" max="3829" width="14" style="27" customWidth="1"/>
    <col min="3830" max="3830" width="4.85546875" style="27" bestFit="1" customWidth="1"/>
    <col min="3831" max="3831" width="9.42578125" style="27" customWidth="1"/>
    <col min="3832" max="3832" width="12.42578125" style="27" bestFit="1" customWidth="1"/>
    <col min="3833" max="3833" width="7.85546875" style="27" bestFit="1" customWidth="1"/>
    <col min="3834" max="3834" width="5.85546875" style="27" bestFit="1" customWidth="1"/>
    <col min="3835" max="3835" width="6.140625" style="27" bestFit="1" customWidth="1"/>
    <col min="3836" max="3836" width="4.42578125" style="27" bestFit="1" customWidth="1"/>
    <col min="3837" max="3837" width="6.85546875" style="27" bestFit="1" customWidth="1"/>
    <col min="3838" max="3838" width="4.42578125" style="27" bestFit="1" customWidth="1"/>
    <col min="3839" max="3839" width="8.42578125" style="27" bestFit="1" customWidth="1"/>
    <col min="3840" max="3840" width="1.85546875" style="27" bestFit="1" customWidth="1"/>
    <col min="3841" max="3841" width="9.85546875" style="27" bestFit="1" customWidth="1"/>
    <col min="3842" max="3843" width="9.140625" style="27"/>
    <col min="3844" max="3844" width="20.42578125" style="27" bestFit="1" customWidth="1"/>
    <col min="3845" max="3845" width="9.85546875" style="27" bestFit="1" customWidth="1"/>
    <col min="3846" max="4078" width="9.140625" style="27"/>
    <col min="4079" max="4079" width="14.7109375" style="27" bestFit="1" customWidth="1"/>
    <col min="4080" max="4080" width="16" style="27" customWidth="1"/>
    <col min="4081" max="4081" width="12.85546875" style="27" bestFit="1" customWidth="1"/>
    <col min="4082" max="4083" width="10.140625" style="27" bestFit="1" customWidth="1"/>
    <col min="4084" max="4084" width="22.42578125" style="27" bestFit="1" customWidth="1"/>
    <col min="4085" max="4085" width="14" style="27" customWidth="1"/>
    <col min="4086" max="4086" width="4.85546875" style="27" bestFit="1" customWidth="1"/>
    <col min="4087" max="4087" width="9.42578125" style="27" customWidth="1"/>
    <col min="4088" max="4088" width="12.42578125" style="27" bestFit="1" customWidth="1"/>
    <col min="4089" max="4089" width="7.85546875" style="27" bestFit="1" customWidth="1"/>
    <col min="4090" max="4090" width="5.85546875" style="27" bestFit="1" customWidth="1"/>
    <col min="4091" max="4091" width="6.140625" style="27" bestFit="1" customWidth="1"/>
    <col min="4092" max="4092" width="4.42578125" style="27" bestFit="1" customWidth="1"/>
    <col min="4093" max="4093" width="6.85546875" style="27" bestFit="1" customWidth="1"/>
    <col min="4094" max="4094" width="4.42578125" style="27" bestFit="1" customWidth="1"/>
    <col min="4095" max="4095" width="8.42578125" style="27" bestFit="1" customWidth="1"/>
    <col min="4096" max="4096" width="1.85546875" style="27" bestFit="1" customWidth="1"/>
    <col min="4097" max="4097" width="9.85546875" style="27" bestFit="1" customWidth="1"/>
    <col min="4098" max="4099" width="9.140625" style="27"/>
    <col min="4100" max="4100" width="20.42578125" style="27" bestFit="1" customWidth="1"/>
    <col min="4101" max="4101" width="9.85546875" style="27" bestFit="1" customWidth="1"/>
    <col min="4102" max="4334" width="9.140625" style="27"/>
    <col min="4335" max="4335" width="14.7109375" style="27" bestFit="1" customWidth="1"/>
    <col min="4336" max="4336" width="16" style="27" customWidth="1"/>
    <col min="4337" max="4337" width="12.85546875" style="27" bestFit="1" customWidth="1"/>
    <col min="4338" max="4339" width="10.140625" style="27" bestFit="1" customWidth="1"/>
    <col min="4340" max="4340" width="22.42578125" style="27" bestFit="1" customWidth="1"/>
    <col min="4341" max="4341" width="14" style="27" customWidth="1"/>
    <col min="4342" max="4342" width="4.85546875" style="27" bestFit="1" customWidth="1"/>
    <col min="4343" max="4343" width="9.42578125" style="27" customWidth="1"/>
    <col min="4344" max="4344" width="12.42578125" style="27" bestFit="1" customWidth="1"/>
    <col min="4345" max="4345" width="7.85546875" style="27" bestFit="1" customWidth="1"/>
    <col min="4346" max="4346" width="5.85546875" style="27" bestFit="1" customWidth="1"/>
    <col min="4347" max="4347" width="6.140625" style="27" bestFit="1" customWidth="1"/>
    <col min="4348" max="4348" width="4.42578125" style="27" bestFit="1" customWidth="1"/>
    <col min="4349" max="4349" width="6.85546875" style="27" bestFit="1" customWidth="1"/>
    <col min="4350" max="4350" width="4.42578125" style="27" bestFit="1" customWidth="1"/>
    <col min="4351" max="4351" width="8.42578125" style="27" bestFit="1" customWidth="1"/>
    <col min="4352" max="4352" width="1.85546875" style="27" bestFit="1" customWidth="1"/>
    <col min="4353" max="4353" width="9.85546875" style="27" bestFit="1" customWidth="1"/>
    <col min="4354" max="4355" width="9.140625" style="27"/>
    <col min="4356" max="4356" width="20.42578125" style="27" bestFit="1" customWidth="1"/>
    <col min="4357" max="4357" width="9.85546875" style="27" bestFit="1" customWidth="1"/>
    <col min="4358" max="4590" width="9.140625" style="27"/>
    <col min="4591" max="4591" width="14.7109375" style="27" bestFit="1" customWidth="1"/>
    <col min="4592" max="4592" width="16" style="27" customWidth="1"/>
    <col min="4593" max="4593" width="12.85546875" style="27" bestFit="1" customWidth="1"/>
    <col min="4594" max="4595" width="10.140625" style="27" bestFit="1" customWidth="1"/>
    <col min="4596" max="4596" width="22.42578125" style="27" bestFit="1" customWidth="1"/>
    <col min="4597" max="4597" width="14" style="27" customWidth="1"/>
    <col min="4598" max="4598" width="4.85546875" style="27" bestFit="1" customWidth="1"/>
    <col min="4599" max="4599" width="9.42578125" style="27" customWidth="1"/>
    <col min="4600" max="4600" width="12.42578125" style="27" bestFit="1" customWidth="1"/>
    <col min="4601" max="4601" width="7.85546875" style="27" bestFit="1" customWidth="1"/>
    <col min="4602" max="4602" width="5.85546875" style="27" bestFit="1" customWidth="1"/>
    <col min="4603" max="4603" width="6.140625" style="27" bestFit="1" customWidth="1"/>
    <col min="4604" max="4604" width="4.42578125" style="27" bestFit="1" customWidth="1"/>
    <col min="4605" max="4605" width="6.85546875" style="27" bestFit="1" customWidth="1"/>
    <col min="4606" max="4606" width="4.42578125" style="27" bestFit="1" customWidth="1"/>
    <col min="4607" max="4607" width="8.42578125" style="27" bestFit="1" customWidth="1"/>
    <col min="4608" max="4608" width="1.85546875" style="27" bestFit="1" customWidth="1"/>
    <col min="4609" max="4609" width="9.85546875" style="27" bestFit="1" customWidth="1"/>
    <col min="4610" max="4611" width="9.140625" style="27"/>
    <col min="4612" max="4612" width="20.42578125" style="27" bestFit="1" customWidth="1"/>
    <col min="4613" max="4613" width="9.85546875" style="27" bestFit="1" customWidth="1"/>
    <col min="4614" max="4846" width="9.140625" style="27"/>
    <col min="4847" max="4847" width="14.7109375" style="27" bestFit="1" customWidth="1"/>
    <col min="4848" max="4848" width="16" style="27" customWidth="1"/>
    <col min="4849" max="4849" width="12.85546875" style="27" bestFit="1" customWidth="1"/>
    <col min="4850" max="4851" width="10.140625" style="27" bestFit="1" customWidth="1"/>
    <col min="4852" max="4852" width="22.42578125" style="27" bestFit="1" customWidth="1"/>
    <col min="4853" max="4853" width="14" style="27" customWidth="1"/>
    <col min="4854" max="4854" width="4.85546875" style="27" bestFit="1" customWidth="1"/>
    <col min="4855" max="4855" width="9.42578125" style="27" customWidth="1"/>
    <col min="4856" max="4856" width="12.42578125" style="27" bestFit="1" customWidth="1"/>
    <col min="4857" max="4857" width="7.85546875" style="27" bestFit="1" customWidth="1"/>
    <col min="4858" max="4858" width="5.85546875" style="27" bestFit="1" customWidth="1"/>
    <col min="4859" max="4859" width="6.140625" style="27" bestFit="1" customWidth="1"/>
    <col min="4860" max="4860" width="4.42578125" style="27" bestFit="1" customWidth="1"/>
    <col min="4861" max="4861" width="6.85546875" style="27" bestFit="1" customWidth="1"/>
    <col min="4862" max="4862" width="4.42578125" style="27" bestFit="1" customWidth="1"/>
    <col min="4863" max="4863" width="8.42578125" style="27" bestFit="1" customWidth="1"/>
    <col min="4864" max="4864" width="1.85546875" style="27" bestFit="1" customWidth="1"/>
    <col min="4865" max="4865" width="9.85546875" style="27" bestFit="1" customWidth="1"/>
    <col min="4866" max="4867" width="9.140625" style="27"/>
    <col min="4868" max="4868" width="20.42578125" style="27" bestFit="1" customWidth="1"/>
    <col min="4869" max="4869" width="9.85546875" style="27" bestFit="1" customWidth="1"/>
    <col min="4870" max="5102" width="9.140625" style="27"/>
    <col min="5103" max="5103" width="14.7109375" style="27" bestFit="1" customWidth="1"/>
    <col min="5104" max="5104" width="16" style="27" customWidth="1"/>
    <col min="5105" max="5105" width="12.85546875" style="27" bestFit="1" customWidth="1"/>
    <col min="5106" max="5107" width="10.140625" style="27" bestFit="1" customWidth="1"/>
    <col min="5108" max="5108" width="22.42578125" style="27" bestFit="1" customWidth="1"/>
    <col min="5109" max="5109" width="14" style="27" customWidth="1"/>
    <col min="5110" max="5110" width="4.85546875" style="27" bestFit="1" customWidth="1"/>
    <col min="5111" max="5111" width="9.42578125" style="27" customWidth="1"/>
    <col min="5112" max="5112" width="12.42578125" style="27" bestFit="1" customWidth="1"/>
    <col min="5113" max="5113" width="7.85546875" style="27" bestFit="1" customWidth="1"/>
    <col min="5114" max="5114" width="5.85546875" style="27" bestFit="1" customWidth="1"/>
    <col min="5115" max="5115" width="6.140625" style="27" bestFit="1" customWidth="1"/>
    <col min="5116" max="5116" width="4.42578125" style="27" bestFit="1" customWidth="1"/>
    <col min="5117" max="5117" width="6.85546875" style="27" bestFit="1" customWidth="1"/>
    <col min="5118" max="5118" width="4.42578125" style="27" bestFit="1" customWidth="1"/>
    <col min="5119" max="5119" width="8.42578125" style="27" bestFit="1" customWidth="1"/>
    <col min="5120" max="5120" width="1.85546875" style="27" bestFit="1" customWidth="1"/>
    <col min="5121" max="5121" width="9.85546875" style="27" bestFit="1" customWidth="1"/>
    <col min="5122" max="5123" width="9.140625" style="27"/>
    <col min="5124" max="5124" width="20.42578125" style="27" bestFit="1" customWidth="1"/>
    <col min="5125" max="5125" width="9.85546875" style="27" bestFit="1" customWidth="1"/>
    <col min="5126" max="5358" width="9.140625" style="27"/>
    <col min="5359" max="5359" width="14.7109375" style="27" bestFit="1" customWidth="1"/>
    <col min="5360" max="5360" width="16" style="27" customWidth="1"/>
    <col min="5361" max="5361" width="12.85546875" style="27" bestFit="1" customWidth="1"/>
    <col min="5362" max="5363" width="10.140625" style="27" bestFit="1" customWidth="1"/>
    <col min="5364" max="5364" width="22.42578125" style="27" bestFit="1" customWidth="1"/>
    <col min="5365" max="5365" width="14" style="27" customWidth="1"/>
    <col min="5366" max="5366" width="4.85546875" style="27" bestFit="1" customWidth="1"/>
    <col min="5367" max="5367" width="9.42578125" style="27" customWidth="1"/>
    <col min="5368" max="5368" width="12.42578125" style="27" bestFit="1" customWidth="1"/>
    <col min="5369" max="5369" width="7.85546875" style="27" bestFit="1" customWidth="1"/>
    <col min="5370" max="5370" width="5.85546875" style="27" bestFit="1" customWidth="1"/>
    <col min="5371" max="5371" width="6.140625" style="27" bestFit="1" customWidth="1"/>
    <col min="5372" max="5372" width="4.42578125" style="27" bestFit="1" customWidth="1"/>
    <col min="5373" max="5373" width="6.85546875" style="27" bestFit="1" customWidth="1"/>
    <col min="5374" max="5374" width="4.42578125" style="27" bestFit="1" customWidth="1"/>
    <col min="5375" max="5375" width="8.42578125" style="27" bestFit="1" customWidth="1"/>
    <col min="5376" max="5376" width="1.85546875" style="27" bestFit="1" customWidth="1"/>
    <col min="5377" max="5377" width="9.85546875" style="27" bestFit="1" customWidth="1"/>
    <col min="5378" max="5379" width="9.140625" style="27"/>
    <col min="5380" max="5380" width="20.42578125" style="27" bestFit="1" customWidth="1"/>
    <col min="5381" max="5381" width="9.85546875" style="27" bestFit="1" customWidth="1"/>
    <col min="5382" max="5614" width="9.140625" style="27"/>
    <col min="5615" max="5615" width="14.7109375" style="27" bestFit="1" customWidth="1"/>
    <col min="5616" max="5616" width="16" style="27" customWidth="1"/>
    <col min="5617" max="5617" width="12.85546875" style="27" bestFit="1" customWidth="1"/>
    <col min="5618" max="5619" width="10.140625" style="27" bestFit="1" customWidth="1"/>
    <col min="5620" max="5620" width="22.42578125" style="27" bestFit="1" customWidth="1"/>
    <col min="5621" max="5621" width="14" style="27" customWidth="1"/>
    <col min="5622" max="5622" width="4.85546875" style="27" bestFit="1" customWidth="1"/>
    <col min="5623" max="5623" width="9.42578125" style="27" customWidth="1"/>
    <col min="5624" max="5624" width="12.42578125" style="27" bestFit="1" customWidth="1"/>
    <col min="5625" max="5625" width="7.85546875" style="27" bestFit="1" customWidth="1"/>
    <col min="5626" max="5626" width="5.85546875" style="27" bestFit="1" customWidth="1"/>
    <col min="5627" max="5627" width="6.140625" style="27" bestFit="1" customWidth="1"/>
    <col min="5628" max="5628" width="4.42578125" style="27" bestFit="1" customWidth="1"/>
    <col min="5629" max="5629" width="6.85546875" style="27" bestFit="1" customWidth="1"/>
    <col min="5630" max="5630" width="4.42578125" style="27" bestFit="1" customWidth="1"/>
    <col min="5631" max="5631" width="8.42578125" style="27" bestFit="1" customWidth="1"/>
    <col min="5632" max="5632" width="1.85546875" style="27" bestFit="1" customWidth="1"/>
    <col min="5633" max="5633" width="9.85546875" style="27" bestFit="1" customWidth="1"/>
    <col min="5634" max="5635" width="9.140625" style="27"/>
    <col min="5636" max="5636" width="20.42578125" style="27" bestFit="1" customWidth="1"/>
    <col min="5637" max="5637" width="9.85546875" style="27" bestFit="1" customWidth="1"/>
    <col min="5638" max="5870" width="9.140625" style="27"/>
    <col min="5871" max="5871" width="14.7109375" style="27" bestFit="1" customWidth="1"/>
    <col min="5872" max="5872" width="16" style="27" customWidth="1"/>
    <col min="5873" max="5873" width="12.85546875" style="27" bestFit="1" customWidth="1"/>
    <col min="5874" max="5875" width="10.140625" style="27" bestFit="1" customWidth="1"/>
    <col min="5876" max="5876" width="22.42578125" style="27" bestFit="1" customWidth="1"/>
    <col min="5877" max="5877" width="14" style="27" customWidth="1"/>
    <col min="5878" max="5878" width="4.85546875" style="27" bestFit="1" customWidth="1"/>
    <col min="5879" max="5879" width="9.42578125" style="27" customWidth="1"/>
    <col min="5880" max="5880" width="12.42578125" style="27" bestFit="1" customWidth="1"/>
    <col min="5881" max="5881" width="7.85546875" style="27" bestFit="1" customWidth="1"/>
    <col min="5882" max="5882" width="5.85546875" style="27" bestFit="1" customWidth="1"/>
    <col min="5883" max="5883" width="6.140625" style="27" bestFit="1" customWidth="1"/>
    <col min="5884" max="5884" width="4.42578125" style="27" bestFit="1" customWidth="1"/>
    <col min="5885" max="5885" width="6.85546875" style="27" bestFit="1" customWidth="1"/>
    <col min="5886" max="5886" width="4.42578125" style="27" bestFit="1" customWidth="1"/>
    <col min="5887" max="5887" width="8.42578125" style="27" bestFit="1" customWidth="1"/>
    <col min="5888" max="5888" width="1.85546875" style="27" bestFit="1" customWidth="1"/>
    <col min="5889" max="5889" width="9.85546875" style="27" bestFit="1" customWidth="1"/>
    <col min="5890" max="5891" width="9.140625" style="27"/>
    <col min="5892" max="5892" width="20.42578125" style="27" bestFit="1" customWidth="1"/>
    <col min="5893" max="5893" width="9.85546875" style="27" bestFit="1" customWidth="1"/>
    <col min="5894" max="6126" width="9.140625" style="27"/>
    <col min="6127" max="6127" width="14.7109375" style="27" bestFit="1" customWidth="1"/>
    <col min="6128" max="6128" width="16" style="27" customWidth="1"/>
    <col min="6129" max="6129" width="12.85546875" style="27" bestFit="1" customWidth="1"/>
    <col min="6130" max="6131" width="10.140625" style="27" bestFit="1" customWidth="1"/>
    <col min="6132" max="6132" width="22.42578125" style="27" bestFit="1" customWidth="1"/>
    <col min="6133" max="6133" width="14" style="27" customWidth="1"/>
    <col min="6134" max="6134" width="4.85546875" style="27" bestFit="1" customWidth="1"/>
    <col min="6135" max="6135" width="9.42578125" style="27" customWidth="1"/>
    <col min="6136" max="6136" width="12.42578125" style="27" bestFit="1" customWidth="1"/>
    <col min="6137" max="6137" width="7.85546875" style="27" bestFit="1" customWidth="1"/>
    <col min="6138" max="6138" width="5.85546875" style="27" bestFit="1" customWidth="1"/>
    <col min="6139" max="6139" width="6.140625" style="27" bestFit="1" customWidth="1"/>
    <col min="6140" max="6140" width="4.42578125" style="27" bestFit="1" customWidth="1"/>
    <col min="6141" max="6141" width="6.85546875" style="27" bestFit="1" customWidth="1"/>
    <col min="6142" max="6142" width="4.42578125" style="27" bestFit="1" customWidth="1"/>
    <col min="6143" max="6143" width="8.42578125" style="27" bestFit="1" customWidth="1"/>
    <col min="6144" max="6144" width="1.85546875" style="27" bestFit="1" customWidth="1"/>
    <col min="6145" max="6145" width="9.85546875" style="27" bestFit="1" customWidth="1"/>
    <col min="6146" max="6147" width="9.140625" style="27"/>
    <col min="6148" max="6148" width="20.42578125" style="27" bestFit="1" customWidth="1"/>
    <col min="6149" max="6149" width="9.85546875" style="27" bestFit="1" customWidth="1"/>
    <col min="6150" max="6382" width="9.140625" style="27"/>
    <col min="6383" max="6383" width="14.7109375" style="27" bestFit="1" customWidth="1"/>
    <col min="6384" max="6384" width="16" style="27" customWidth="1"/>
    <col min="6385" max="6385" width="12.85546875" style="27" bestFit="1" customWidth="1"/>
    <col min="6386" max="6387" width="10.140625" style="27" bestFit="1" customWidth="1"/>
    <col min="6388" max="6388" width="22.42578125" style="27" bestFit="1" customWidth="1"/>
    <col min="6389" max="6389" width="14" style="27" customWidth="1"/>
    <col min="6390" max="6390" width="4.85546875" style="27" bestFit="1" customWidth="1"/>
    <col min="6391" max="6391" width="9.42578125" style="27" customWidth="1"/>
    <col min="6392" max="6392" width="12.42578125" style="27" bestFit="1" customWidth="1"/>
    <col min="6393" max="6393" width="7.85546875" style="27" bestFit="1" customWidth="1"/>
    <col min="6394" max="6394" width="5.85546875" style="27" bestFit="1" customWidth="1"/>
    <col min="6395" max="6395" width="6.140625" style="27" bestFit="1" customWidth="1"/>
    <col min="6396" max="6396" width="4.42578125" style="27" bestFit="1" customWidth="1"/>
    <col min="6397" max="6397" width="6.85546875" style="27" bestFit="1" customWidth="1"/>
    <col min="6398" max="6398" width="4.42578125" style="27" bestFit="1" customWidth="1"/>
    <col min="6399" max="6399" width="8.42578125" style="27" bestFit="1" customWidth="1"/>
    <col min="6400" max="6400" width="1.85546875" style="27" bestFit="1" customWidth="1"/>
    <col min="6401" max="6401" width="9.85546875" style="27" bestFit="1" customWidth="1"/>
    <col min="6402" max="6403" width="9.140625" style="27"/>
    <col min="6404" max="6404" width="20.42578125" style="27" bestFit="1" customWidth="1"/>
    <col min="6405" max="6405" width="9.85546875" style="27" bestFit="1" customWidth="1"/>
    <col min="6406" max="6638" width="9.140625" style="27"/>
    <col min="6639" max="6639" width="14.7109375" style="27" bestFit="1" customWidth="1"/>
    <col min="6640" max="6640" width="16" style="27" customWidth="1"/>
    <col min="6641" max="6641" width="12.85546875" style="27" bestFit="1" customWidth="1"/>
    <col min="6642" max="6643" width="10.140625" style="27" bestFit="1" customWidth="1"/>
    <col min="6644" max="6644" width="22.42578125" style="27" bestFit="1" customWidth="1"/>
    <col min="6645" max="6645" width="14" style="27" customWidth="1"/>
    <col min="6646" max="6646" width="4.85546875" style="27" bestFit="1" customWidth="1"/>
    <col min="6647" max="6647" width="9.42578125" style="27" customWidth="1"/>
    <col min="6648" max="6648" width="12.42578125" style="27" bestFit="1" customWidth="1"/>
    <col min="6649" max="6649" width="7.85546875" style="27" bestFit="1" customWidth="1"/>
    <col min="6650" max="6650" width="5.85546875" style="27" bestFit="1" customWidth="1"/>
    <col min="6651" max="6651" width="6.140625" style="27" bestFit="1" customWidth="1"/>
    <col min="6652" max="6652" width="4.42578125" style="27" bestFit="1" customWidth="1"/>
    <col min="6653" max="6653" width="6.85546875" style="27" bestFit="1" customWidth="1"/>
    <col min="6654" max="6654" width="4.42578125" style="27" bestFit="1" customWidth="1"/>
    <col min="6655" max="6655" width="8.42578125" style="27" bestFit="1" customWidth="1"/>
    <col min="6656" max="6656" width="1.85546875" style="27" bestFit="1" customWidth="1"/>
    <col min="6657" max="6657" width="9.85546875" style="27" bestFit="1" customWidth="1"/>
    <col min="6658" max="6659" width="9.140625" style="27"/>
    <col min="6660" max="6660" width="20.42578125" style="27" bestFit="1" customWidth="1"/>
    <col min="6661" max="6661" width="9.85546875" style="27" bestFit="1" customWidth="1"/>
    <col min="6662" max="6894" width="9.140625" style="27"/>
    <col min="6895" max="6895" width="14.7109375" style="27" bestFit="1" customWidth="1"/>
    <col min="6896" max="6896" width="16" style="27" customWidth="1"/>
    <col min="6897" max="6897" width="12.85546875" style="27" bestFit="1" customWidth="1"/>
    <col min="6898" max="6899" width="10.140625" style="27" bestFit="1" customWidth="1"/>
    <col min="6900" max="6900" width="22.42578125" style="27" bestFit="1" customWidth="1"/>
    <col min="6901" max="6901" width="14" style="27" customWidth="1"/>
    <col min="6902" max="6902" width="4.85546875" style="27" bestFit="1" customWidth="1"/>
    <col min="6903" max="6903" width="9.42578125" style="27" customWidth="1"/>
    <col min="6904" max="6904" width="12.42578125" style="27" bestFit="1" customWidth="1"/>
    <col min="6905" max="6905" width="7.85546875" style="27" bestFit="1" customWidth="1"/>
    <col min="6906" max="6906" width="5.85546875" style="27" bestFit="1" customWidth="1"/>
    <col min="6907" max="6907" width="6.140625" style="27" bestFit="1" customWidth="1"/>
    <col min="6908" max="6908" width="4.42578125" style="27" bestFit="1" customWidth="1"/>
    <col min="6909" max="6909" width="6.85546875" style="27" bestFit="1" customWidth="1"/>
    <col min="6910" max="6910" width="4.42578125" style="27" bestFit="1" customWidth="1"/>
    <col min="6911" max="6911" width="8.42578125" style="27" bestFit="1" customWidth="1"/>
    <col min="6912" max="6912" width="1.85546875" style="27" bestFit="1" customWidth="1"/>
    <col min="6913" max="6913" width="9.85546875" style="27" bestFit="1" customWidth="1"/>
    <col min="6914" max="6915" width="9.140625" style="27"/>
    <col min="6916" max="6916" width="20.42578125" style="27" bestFit="1" customWidth="1"/>
    <col min="6917" max="6917" width="9.85546875" style="27" bestFit="1" customWidth="1"/>
    <col min="6918" max="7150" width="9.140625" style="27"/>
    <col min="7151" max="7151" width="14.7109375" style="27" bestFit="1" customWidth="1"/>
    <col min="7152" max="7152" width="16" style="27" customWidth="1"/>
    <col min="7153" max="7153" width="12.85546875" style="27" bestFit="1" customWidth="1"/>
    <col min="7154" max="7155" width="10.140625" style="27" bestFit="1" customWidth="1"/>
    <col min="7156" max="7156" width="22.42578125" style="27" bestFit="1" customWidth="1"/>
    <col min="7157" max="7157" width="14" style="27" customWidth="1"/>
    <col min="7158" max="7158" width="4.85546875" style="27" bestFit="1" customWidth="1"/>
    <col min="7159" max="7159" width="9.42578125" style="27" customWidth="1"/>
    <col min="7160" max="7160" width="12.42578125" style="27" bestFit="1" customWidth="1"/>
    <col min="7161" max="7161" width="7.85546875" style="27" bestFit="1" customWidth="1"/>
    <col min="7162" max="7162" width="5.85546875" style="27" bestFit="1" customWidth="1"/>
    <col min="7163" max="7163" width="6.140625" style="27" bestFit="1" customWidth="1"/>
    <col min="7164" max="7164" width="4.42578125" style="27" bestFit="1" customWidth="1"/>
    <col min="7165" max="7165" width="6.85546875" style="27" bestFit="1" customWidth="1"/>
    <col min="7166" max="7166" width="4.42578125" style="27" bestFit="1" customWidth="1"/>
    <col min="7167" max="7167" width="8.42578125" style="27" bestFit="1" customWidth="1"/>
    <col min="7168" max="7168" width="1.85546875" style="27" bestFit="1" customWidth="1"/>
    <col min="7169" max="7169" width="9.85546875" style="27" bestFit="1" customWidth="1"/>
    <col min="7170" max="7171" width="9.140625" style="27"/>
    <col min="7172" max="7172" width="20.42578125" style="27" bestFit="1" customWidth="1"/>
    <col min="7173" max="7173" width="9.85546875" style="27" bestFit="1" customWidth="1"/>
    <col min="7174" max="7406" width="9.140625" style="27"/>
    <col min="7407" max="7407" width="14.7109375" style="27" bestFit="1" customWidth="1"/>
    <col min="7408" max="7408" width="16" style="27" customWidth="1"/>
    <col min="7409" max="7409" width="12.85546875" style="27" bestFit="1" customWidth="1"/>
    <col min="7410" max="7411" width="10.140625" style="27" bestFit="1" customWidth="1"/>
    <col min="7412" max="7412" width="22.42578125" style="27" bestFit="1" customWidth="1"/>
    <col min="7413" max="7413" width="14" style="27" customWidth="1"/>
    <col min="7414" max="7414" width="4.85546875" style="27" bestFit="1" customWidth="1"/>
    <col min="7415" max="7415" width="9.42578125" style="27" customWidth="1"/>
    <col min="7416" max="7416" width="12.42578125" style="27" bestFit="1" customWidth="1"/>
    <col min="7417" max="7417" width="7.85546875" style="27" bestFit="1" customWidth="1"/>
    <col min="7418" max="7418" width="5.85546875" style="27" bestFit="1" customWidth="1"/>
    <col min="7419" max="7419" width="6.140625" style="27" bestFit="1" customWidth="1"/>
    <col min="7420" max="7420" width="4.42578125" style="27" bestFit="1" customWidth="1"/>
    <col min="7421" max="7421" width="6.85546875" style="27" bestFit="1" customWidth="1"/>
    <col min="7422" max="7422" width="4.42578125" style="27" bestFit="1" customWidth="1"/>
    <col min="7423" max="7423" width="8.42578125" style="27" bestFit="1" customWidth="1"/>
    <col min="7424" max="7424" width="1.85546875" style="27" bestFit="1" customWidth="1"/>
    <col min="7425" max="7425" width="9.85546875" style="27" bestFit="1" customWidth="1"/>
    <col min="7426" max="7427" width="9.140625" style="27"/>
    <col min="7428" max="7428" width="20.42578125" style="27" bestFit="1" customWidth="1"/>
    <col min="7429" max="7429" width="9.85546875" style="27" bestFit="1" customWidth="1"/>
    <col min="7430" max="7662" width="9.140625" style="27"/>
    <col min="7663" max="7663" width="14.7109375" style="27" bestFit="1" customWidth="1"/>
    <col min="7664" max="7664" width="16" style="27" customWidth="1"/>
    <col min="7665" max="7665" width="12.85546875" style="27" bestFit="1" customWidth="1"/>
    <col min="7666" max="7667" width="10.140625" style="27" bestFit="1" customWidth="1"/>
    <col min="7668" max="7668" width="22.42578125" style="27" bestFit="1" customWidth="1"/>
    <col min="7669" max="7669" width="14" style="27" customWidth="1"/>
    <col min="7670" max="7670" width="4.85546875" style="27" bestFit="1" customWidth="1"/>
    <col min="7671" max="7671" width="9.42578125" style="27" customWidth="1"/>
    <col min="7672" max="7672" width="12.42578125" style="27" bestFit="1" customWidth="1"/>
    <col min="7673" max="7673" width="7.85546875" style="27" bestFit="1" customWidth="1"/>
    <col min="7674" max="7674" width="5.85546875" style="27" bestFit="1" customWidth="1"/>
    <col min="7675" max="7675" width="6.140625" style="27" bestFit="1" customWidth="1"/>
    <col min="7676" max="7676" width="4.42578125" style="27" bestFit="1" customWidth="1"/>
    <col min="7677" max="7677" width="6.85546875" style="27" bestFit="1" customWidth="1"/>
    <col min="7678" max="7678" width="4.42578125" style="27" bestFit="1" customWidth="1"/>
    <col min="7679" max="7679" width="8.42578125" style="27" bestFit="1" customWidth="1"/>
    <col min="7680" max="7680" width="1.85546875" style="27" bestFit="1" customWidth="1"/>
    <col min="7681" max="7681" width="9.85546875" style="27" bestFit="1" customWidth="1"/>
    <col min="7682" max="7683" width="9.140625" style="27"/>
    <col min="7684" max="7684" width="20.42578125" style="27" bestFit="1" customWidth="1"/>
    <col min="7685" max="7685" width="9.85546875" style="27" bestFit="1" customWidth="1"/>
    <col min="7686" max="7918" width="9.140625" style="27"/>
    <col min="7919" max="7919" width="14.7109375" style="27" bestFit="1" customWidth="1"/>
    <col min="7920" max="7920" width="16" style="27" customWidth="1"/>
    <col min="7921" max="7921" width="12.85546875" style="27" bestFit="1" customWidth="1"/>
    <col min="7922" max="7923" width="10.140625" style="27" bestFit="1" customWidth="1"/>
    <col min="7924" max="7924" width="22.42578125" style="27" bestFit="1" customWidth="1"/>
    <col min="7925" max="7925" width="14" style="27" customWidth="1"/>
    <col min="7926" max="7926" width="4.85546875" style="27" bestFit="1" customWidth="1"/>
    <col min="7927" max="7927" width="9.42578125" style="27" customWidth="1"/>
    <col min="7928" max="7928" width="12.42578125" style="27" bestFit="1" customWidth="1"/>
    <col min="7929" max="7929" width="7.85546875" style="27" bestFit="1" customWidth="1"/>
    <col min="7930" max="7930" width="5.85546875" style="27" bestFit="1" customWidth="1"/>
    <col min="7931" max="7931" width="6.140625" style="27" bestFit="1" customWidth="1"/>
    <col min="7932" max="7932" width="4.42578125" style="27" bestFit="1" customWidth="1"/>
    <col min="7933" max="7933" width="6.85546875" style="27" bestFit="1" customWidth="1"/>
    <col min="7934" max="7934" width="4.42578125" style="27" bestFit="1" customWidth="1"/>
    <col min="7935" max="7935" width="8.42578125" style="27" bestFit="1" customWidth="1"/>
    <col min="7936" max="7936" width="1.85546875" style="27" bestFit="1" customWidth="1"/>
    <col min="7937" max="7937" width="9.85546875" style="27" bestFit="1" customWidth="1"/>
    <col min="7938" max="7939" width="9.140625" style="27"/>
    <col min="7940" max="7940" width="20.42578125" style="27" bestFit="1" customWidth="1"/>
    <col min="7941" max="7941" width="9.85546875" style="27" bestFit="1" customWidth="1"/>
    <col min="7942" max="8174" width="9.140625" style="27"/>
    <col min="8175" max="8175" width="14.7109375" style="27" bestFit="1" customWidth="1"/>
    <col min="8176" max="8176" width="16" style="27" customWidth="1"/>
    <col min="8177" max="8177" width="12.85546875" style="27" bestFit="1" customWidth="1"/>
    <col min="8178" max="8179" width="10.140625" style="27" bestFit="1" customWidth="1"/>
    <col min="8180" max="8180" width="22.42578125" style="27" bestFit="1" customWidth="1"/>
    <col min="8181" max="8181" width="14" style="27" customWidth="1"/>
    <col min="8182" max="8182" width="4.85546875" style="27" bestFit="1" customWidth="1"/>
    <col min="8183" max="8183" width="9.42578125" style="27" customWidth="1"/>
    <col min="8184" max="8184" width="12.42578125" style="27" bestFit="1" customWidth="1"/>
    <col min="8185" max="8185" width="7.85546875" style="27" bestFit="1" customWidth="1"/>
    <col min="8186" max="8186" width="5.85546875" style="27" bestFit="1" customWidth="1"/>
    <col min="8187" max="8187" width="6.140625" style="27" bestFit="1" customWidth="1"/>
    <col min="8188" max="8188" width="4.42578125" style="27" bestFit="1" customWidth="1"/>
    <col min="8189" max="8189" width="6.85546875" style="27" bestFit="1" customWidth="1"/>
    <col min="8190" max="8190" width="4.42578125" style="27" bestFit="1" customWidth="1"/>
    <col min="8191" max="8191" width="8.42578125" style="27" bestFit="1" customWidth="1"/>
    <col min="8192" max="8192" width="1.85546875" style="27" bestFit="1" customWidth="1"/>
    <col min="8193" max="8193" width="9.85546875" style="27" bestFit="1" customWidth="1"/>
    <col min="8194" max="8195" width="9.140625" style="27"/>
    <col min="8196" max="8196" width="20.42578125" style="27" bestFit="1" customWidth="1"/>
    <col min="8197" max="8197" width="9.85546875" style="27" bestFit="1" customWidth="1"/>
    <col min="8198" max="8430" width="9.140625" style="27"/>
    <col min="8431" max="8431" width="14.7109375" style="27" bestFit="1" customWidth="1"/>
    <col min="8432" max="8432" width="16" style="27" customWidth="1"/>
    <col min="8433" max="8433" width="12.85546875" style="27" bestFit="1" customWidth="1"/>
    <col min="8434" max="8435" width="10.140625" style="27" bestFit="1" customWidth="1"/>
    <col min="8436" max="8436" width="22.42578125" style="27" bestFit="1" customWidth="1"/>
    <col min="8437" max="8437" width="14" style="27" customWidth="1"/>
    <col min="8438" max="8438" width="4.85546875" style="27" bestFit="1" customWidth="1"/>
    <col min="8439" max="8439" width="9.42578125" style="27" customWidth="1"/>
    <col min="8440" max="8440" width="12.42578125" style="27" bestFit="1" customWidth="1"/>
    <col min="8441" max="8441" width="7.85546875" style="27" bestFit="1" customWidth="1"/>
    <col min="8442" max="8442" width="5.85546875" style="27" bestFit="1" customWidth="1"/>
    <col min="8443" max="8443" width="6.140625" style="27" bestFit="1" customWidth="1"/>
    <col min="8444" max="8444" width="4.42578125" style="27" bestFit="1" customWidth="1"/>
    <col min="8445" max="8445" width="6.85546875" style="27" bestFit="1" customWidth="1"/>
    <col min="8446" max="8446" width="4.42578125" style="27" bestFit="1" customWidth="1"/>
    <col min="8447" max="8447" width="8.42578125" style="27" bestFit="1" customWidth="1"/>
    <col min="8448" max="8448" width="1.85546875" style="27" bestFit="1" customWidth="1"/>
    <col min="8449" max="8449" width="9.85546875" style="27" bestFit="1" customWidth="1"/>
    <col min="8450" max="8451" width="9.140625" style="27"/>
    <col min="8452" max="8452" width="20.42578125" style="27" bestFit="1" customWidth="1"/>
    <col min="8453" max="8453" width="9.85546875" style="27" bestFit="1" customWidth="1"/>
    <col min="8454" max="8686" width="9.140625" style="27"/>
    <col min="8687" max="8687" width="14.7109375" style="27" bestFit="1" customWidth="1"/>
    <col min="8688" max="8688" width="16" style="27" customWidth="1"/>
    <col min="8689" max="8689" width="12.85546875" style="27" bestFit="1" customWidth="1"/>
    <col min="8690" max="8691" width="10.140625" style="27" bestFit="1" customWidth="1"/>
    <col min="8692" max="8692" width="22.42578125" style="27" bestFit="1" customWidth="1"/>
    <col min="8693" max="8693" width="14" style="27" customWidth="1"/>
    <col min="8694" max="8694" width="4.85546875" style="27" bestFit="1" customWidth="1"/>
    <col min="8695" max="8695" width="9.42578125" style="27" customWidth="1"/>
    <col min="8696" max="8696" width="12.42578125" style="27" bestFit="1" customWidth="1"/>
    <col min="8697" max="8697" width="7.85546875" style="27" bestFit="1" customWidth="1"/>
    <col min="8698" max="8698" width="5.85546875" style="27" bestFit="1" customWidth="1"/>
    <col min="8699" max="8699" width="6.140625" style="27" bestFit="1" customWidth="1"/>
    <col min="8700" max="8700" width="4.42578125" style="27" bestFit="1" customWidth="1"/>
    <col min="8701" max="8701" width="6.85546875" style="27" bestFit="1" customWidth="1"/>
    <col min="8702" max="8702" width="4.42578125" style="27" bestFit="1" customWidth="1"/>
    <col min="8703" max="8703" width="8.42578125" style="27" bestFit="1" customWidth="1"/>
    <col min="8704" max="8704" width="1.85546875" style="27" bestFit="1" customWidth="1"/>
    <col min="8705" max="8705" width="9.85546875" style="27" bestFit="1" customWidth="1"/>
    <col min="8706" max="8707" width="9.140625" style="27"/>
    <col min="8708" max="8708" width="20.42578125" style="27" bestFit="1" customWidth="1"/>
    <col min="8709" max="8709" width="9.85546875" style="27" bestFit="1" customWidth="1"/>
    <col min="8710" max="8942" width="9.140625" style="27"/>
    <col min="8943" max="8943" width="14.7109375" style="27" bestFit="1" customWidth="1"/>
    <col min="8944" max="8944" width="16" style="27" customWidth="1"/>
    <col min="8945" max="8945" width="12.85546875" style="27" bestFit="1" customWidth="1"/>
    <col min="8946" max="8947" width="10.140625" style="27" bestFit="1" customWidth="1"/>
    <col min="8948" max="8948" width="22.42578125" style="27" bestFit="1" customWidth="1"/>
    <col min="8949" max="8949" width="14" style="27" customWidth="1"/>
    <col min="8950" max="8950" width="4.85546875" style="27" bestFit="1" customWidth="1"/>
    <col min="8951" max="8951" width="9.42578125" style="27" customWidth="1"/>
    <col min="8952" max="8952" width="12.42578125" style="27" bestFit="1" customWidth="1"/>
    <col min="8953" max="8953" width="7.85546875" style="27" bestFit="1" customWidth="1"/>
    <col min="8954" max="8954" width="5.85546875" style="27" bestFit="1" customWidth="1"/>
    <col min="8955" max="8955" width="6.140625" style="27" bestFit="1" customWidth="1"/>
    <col min="8956" max="8956" width="4.42578125" style="27" bestFit="1" customWidth="1"/>
    <col min="8957" max="8957" width="6.85546875" style="27" bestFit="1" customWidth="1"/>
    <col min="8958" max="8958" width="4.42578125" style="27" bestFit="1" customWidth="1"/>
    <col min="8959" max="8959" width="8.42578125" style="27" bestFit="1" customWidth="1"/>
    <col min="8960" max="8960" width="1.85546875" style="27" bestFit="1" customWidth="1"/>
    <col min="8961" max="8961" width="9.85546875" style="27" bestFit="1" customWidth="1"/>
    <col min="8962" max="8963" width="9.140625" style="27"/>
    <col min="8964" max="8964" width="20.42578125" style="27" bestFit="1" customWidth="1"/>
    <col min="8965" max="8965" width="9.85546875" style="27" bestFit="1" customWidth="1"/>
    <col min="8966" max="9198" width="9.140625" style="27"/>
    <col min="9199" max="9199" width="14.7109375" style="27" bestFit="1" customWidth="1"/>
    <col min="9200" max="9200" width="16" style="27" customWidth="1"/>
    <col min="9201" max="9201" width="12.85546875" style="27" bestFit="1" customWidth="1"/>
    <col min="9202" max="9203" width="10.140625" style="27" bestFit="1" customWidth="1"/>
    <col min="9204" max="9204" width="22.42578125" style="27" bestFit="1" customWidth="1"/>
    <col min="9205" max="9205" width="14" style="27" customWidth="1"/>
    <col min="9206" max="9206" width="4.85546875" style="27" bestFit="1" customWidth="1"/>
    <col min="9207" max="9207" width="9.42578125" style="27" customWidth="1"/>
    <col min="9208" max="9208" width="12.42578125" style="27" bestFit="1" customWidth="1"/>
    <col min="9209" max="9209" width="7.85546875" style="27" bestFit="1" customWidth="1"/>
    <col min="9210" max="9210" width="5.85546875" style="27" bestFit="1" customWidth="1"/>
    <col min="9211" max="9211" width="6.140625" style="27" bestFit="1" customWidth="1"/>
    <col min="9212" max="9212" width="4.42578125" style="27" bestFit="1" customWidth="1"/>
    <col min="9213" max="9213" width="6.85546875" style="27" bestFit="1" customWidth="1"/>
    <col min="9214" max="9214" width="4.42578125" style="27" bestFit="1" customWidth="1"/>
    <col min="9215" max="9215" width="8.42578125" style="27" bestFit="1" customWidth="1"/>
    <col min="9216" max="9216" width="1.85546875" style="27" bestFit="1" customWidth="1"/>
    <col min="9217" max="9217" width="9.85546875" style="27" bestFit="1" customWidth="1"/>
    <col min="9218" max="9219" width="9.140625" style="27"/>
    <col min="9220" max="9220" width="20.42578125" style="27" bestFit="1" customWidth="1"/>
    <col min="9221" max="9221" width="9.85546875" style="27" bestFit="1" customWidth="1"/>
    <col min="9222" max="9454" width="9.140625" style="27"/>
    <col min="9455" max="9455" width="14.7109375" style="27" bestFit="1" customWidth="1"/>
    <col min="9456" max="9456" width="16" style="27" customWidth="1"/>
    <col min="9457" max="9457" width="12.85546875" style="27" bestFit="1" customWidth="1"/>
    <col min="9458" max="9459" width="10.140625" style="27" bestFit="1" customWidth="1"/>
    <col min="9460" max="9460" width="22.42578125" style="27" bestFit="1" customWidth="1"/>
    <col min="9461" max="9461" width="14" style="27" customWidth="1"/>
    <col min="9462" max="9462" width="4.85546875" style="27" bestFit="1" customWidth="1"/>
    <col min="9463" max="9463" width="9.42578125" style="27" customWidth="1"/>
    <col min="9464" max="9464" width="12.42578125" style="27" bestFit="1" customWidth="1"/>
    <col min="9465" max="9465" width="7.85546875" style="27" bestFit="1" customWidth="1"/>
    <col min="9466" max="9466" width="5.85546875" style="27" bestFit="1" customWidth="1"/>
    <col min="9467" max="9467" width="6.140625" style="27" bestFit="1" customWidth="1"/>
    <col min="9468" max="9468" width="4.42578125" style="27" bestFit="1" customWidth="1"/>
    <col min="9469" max="9469" width="6.85546875" style="27" bestFit="1" customWidth="1"/>
    <col min="9470" max="9470" width="4.42578125" style="27" bestFit="1" customWidth="1"/>
    <col min="9471" max="9471" width="8.42578125" style="27" bestFit="1" customWidth="1"/>
    <col min="9472" max="9472" width="1.85546875" style="27" bestFit="1" customWidth="1"/>
    <col min="9473" max="9473" width="9.85546875" style="27" bestFit="1" customWidth="1"/>
    <col min="9474" max="9475" width="9.140625" style="27"/>
    <col min="9476" max="9476" width="20.42578125" style="27" bestFit="1" customWidth="1"/>
    <col min="9477" max="9477" width="9.85546875" style="27" bestFit="1" customWidth="1"/>
    <col min="9478" max="9710" width="9.140625" style="27"/>
    <col min="9711" max="9711" width="14.7109375" style="27" bestFit="1" customWidth="1"/>
    <col min="9712" max="9712" width="16" style="27" customWidth="1"/>
    <col min="9713" max="9713" width="12.85546875" style="27" bestFit="1" customWidth="1"/>
    <col min="9714" max="9715" width="10.140625" style="27" bestFit="1" customWidth="1"/>
    <col min="9716" max="9716" width="22.42578125" style="27" bestFit="1" customWidth="1"/>
    <col min="9717" max="9717" width="14" style="27" customWidth="1"/>
    <col min="9718" max="9718" width="4.85546875" style="27" bestFit="1" customWidth="1"/>
    <col min="9719" max="9719" width="9.42578125" style="27" customWidth="1"/>
    <col min="9720" max="9720" width="12.42578125" style="27" bestFit="1" customWidth="1"/>
    <col min="9721" max="9721" width="7.85546875" style="27" bestFit="1" customWidth="1"/>
    <col min="9722" max="9722" width="5.85546875" style="27" bestFit="1" customWidth="1"/>
    <col min="9723" max="9723" width="6.140625" style="27" bestFit="1" customWidth="1"/>
    <col min="9724" max="9724" width="4.42578125" style="27" bestFit="1" customWidth="1"/>
    <col min="9725" max="9725" width="6.85546875" style="27" bestFit="1" customWidth="1"/>
    <col min="9726" max="9726" width="4.42578125" style="27" bestFit="1" customWidth="1"/>
    <col min="9727" max="9727" width="8.42578125" style="27" bestFit="1" customWidth="1"/>
    <col min="9728" max="9728" width="1.85546875" style="27" bestFit="1" customWidth="1"/>
    <col min="9729" max="9729" width="9.85546875" style="27" bestFit="1" customWidth="1"/>
    <col min="9730" max="9731" width="9.140625" style="27"/>
    <col min="9732" max="9732" width="20.42578125" style="27" bestFit="1" customWidth="1"/>
    <col min="9733" max="9733" width="9.85546875" style="27" bestFit="1" customWidth="1"/>
    <col min="9734" max="9966" width="9.140625" style="27"/>
    <col min="9967" max="9967" width="14.7109375" style="27" bestFit="1" customWidth="1"/>
    <col min="9968" max="9968" width="16" style="27" customWidth="1"/>
    <col min="9969" max="9969" width="12.85546875" style="27" bestFit="1" customWidth="1"/>
    <col min="9970" max="9971" width="10.140625" style="27" bestFit="1" customWidth="1"/>
    <col min="9972" max="9972" width="22.42578125" style="27" bestFit="1" customWidth="1"/>
    <col min="9973" max="9973" width="14" style="27" customWidth="1"/>
    <col min="9974" max="9974" width="4.85546875" style="27" bestFit="1" customWidth="1"/>
    <col min="9975" max="9975" width="9.42578125" style="27" customWidth="1"/>
    <col min="9976" max="9976" width="12.42578125" style="27" bestFit="1" customWidth="1"/>
    <col min="9977" max="9977" width="7.85546875" style="27" bestFit="1" customWidth="1"/>
    <col min="9978" max="9978" width="5.85546875" style="27" bestFit="1" customWidth="1"/>
    <col min="9979" max="9979" width="6.140625" style="27" bestFit="1" customWidth="1"/>
    <col min="9980" max="9980" width="4.42578125" style="27" bestFit="1" customWidth="1"/>
    <col min="9981" max="9981" width="6.85546875" style="27" bestFit="1" customWidth="1"/>
    <col min="9982" max="9982" width="4.42578125" style="27" bestFit="1" customWidth="1"/>
    <col min="9983" max="9983" width="8.42578125" style="27" bestFit="1" customWidth="1"/>
    <col min="9984" max="9984" width="1.85546875" style="27" bestFit="1" customWidth="1"/>
    <col min="9985" max="9985" width="9.85546875" style="27" bestFit="1" customWidth="1"/>
    <col min="9986" max="9987" width="9.140625" style="27"/>
    <col min="9988" max="9988" width="20.42578125" style="27" bestFit="1" customWidth="1"/>
    <col min="9989" max="9989" width="9.85546875" style="27" bestFit="1" customWidth="1"/>
    <col min="9990" max="10222" width="9.140625" style="27"/>
    <col min="10223" max="10223" width="14.7109375" style="27" bestFit="1" customWidth="1"/>
    <col min="10224" max="10224" width="16" style="27" customWidth="1"/>
    <col min="10225" max="10225" width="12.85546875" style="27" bestFit="1" customWidth="1"/>
    <col min="10226" max="10227" width="10.140625" style="27" bestFit="1" customWidth="1"/>
    <col min="10228" max="10228" width="22.42578125" style="27" bestFit="1" customWidth="1"/>
    <col min="10229" max="10229" width="14" style="27" customWidth="1"/>
    <col min="10230" max="10230" width="4.85546875" style="27" bestFit="1" customWidth="1"/>
    <col min="10231" max="10231" width="9.42578125" style="27" customWidth="1"/>
    <col min="10232" max="10232" width="12.42578125" style="27" bestFit="1" customWidth="1"/>
    <col min="10233" max="10233" width="7.85546875" style="27" bestFit="1" customWidth="1"/>
    <col min="10234" max="10234" width="5.85546875" style="27" bestFit="1" customWidth="1"/>
    <col min="10235" max="10235" width="6.140625" style="27" bestFit="1" customWidth="1"/>
    <col min="10236" max="10236" width="4.42578125" style="27" bestFit="1" customWidth="1"/>
    <col min="10237" max="10237" width="6.85546875" style="27" bestFit="1" customWidth="1"/>
    <col min="10238" max="10238" width="4.42578125" style="27" bestFit="1" customWidth="1"/>
    <col min="10239" max="10239" width="8.42578125" style="27" bestFit="1" customWidth="1"/>
    <col min="10240" max="10240" width="1.85546875" style="27" bestFit="1" customWidth="1"/>
    <col min="10241" max="10241" width="9.85546875" style="27" bestFit="1" customWidth="1"/>
    <col min="10242" max="10243" width="9.140625" style="27"/>
    <col min="10244" max="10244" width="20.42578125" style="27" bestFit="1" customWidth="1"/>
    <col min="10245" max="10245" width="9.85546875" style="27" bestFit="1" customWidth="1"/>
    <col min="10246" max="10478" width="9.140625" style="27"/>
    <col min="10479" max="10479" width="14.7109375" style="27" bestFit="1" customWidth="1"/>
    <col min="10480" max="10480" width="16" style="27" customWidth="1"/>
    <col min="10481" max="10481" width="12.85546875" style="27" bestFit="1" customWidth="1"/>
    <col min="10482" max="10483" width="10.140625" style="27" bestFit="1" customWidth="1"/>
    <col min="10484" max="10484" width="22.42578125" style="27" bestFit="1" customWidth="1"/>
    <col min="10485" max="10485" width="14" style="27" customWidth="1"/>
    <col min="10486" max="10486" width="4.85546875" style="27" bestFit="1" customWidth="1"/>
    <col min="10487" max="10487" width="9.42578125" style="27" customWidth="1"/>
    <col min="10488" max="10488" width="12.42578125" style="27" bestFit="1" customWidth="1"/>
    <col min="10489" max="10489" width="7.85546875" style="27" bestFit="1" customWidth="1"/>
    <col min="10490" max="10490" width="5.85546875" style="27" bestFit="1" customWidth="1"/>
    <col min="10491" max="10491" width="6.140625" style="27" bestFit="1" customWidth="1"/>
    <col min="10492" max="10492" width="4.42578125" style="27" bestFit="1" customWidth="1"/>
    <col min="10493" max="10493" width="6.85546875" style="27" bestFit="1" customWidth="1"/>
    <col min="10494" max="10494" width="4.42578125" style="27" bestFit="1" customWidth="1"/>
    <col min="10495" max="10495" width="8.42578125" style="27" bestFit="1" customWidth="1"/>
    <col min="10496" max="10496" width="1.85546875" style="27" bestFit="1" customWidth="1"/>
    <col min="10497" max="10497" width="9.85546875" style="27" bestFit="1" customWidth="1"/>
    <col min="10498" max="10499" width="9.140625" style="27"/>
    <col min="10500" max="10500" width="20.42578125" style="27" bestFit="1" customWidth="1"/>
    <col min="10501" max="10501" width="9.85546875" style="27" bestFit="1" customWidth="1"/>
    <col min="10502" max="10734" width="9.140625" style="27"/>
    <col min="10735" max="10735" width="14.7109375" style="27" bestFit="1" customWidth="1"/>
    <col min="10736" max="10736" width="16" style="27" customWidth="1"/>
    <col min="10737" max="10737" width="12.85546875" style="27" bestFit="1" customWidth="1"/>
    <col min="10738" max="10739" width="10.140625" style="27" bestFit="1" customWidth="1"/>
    <col min="10740" max="10740" width="22.42578125" style="27" bestFit="1" customWidth="1"/>
    <col min="10741" max="10741" width="14" style="27" customWidth="1"/>
    <col min="10742" max="10742" width="4.85546875" style="27" bestFit="1" customWidth="1"/>
    <col min="10743" max="10743" width="9.42578125" style="27" customWidth="1"/>
    <col min="10744" max="10744" width="12.42578125" style="27" bestFit="1" customWidth="1"/>
    <col min="10745" max="10745" width="7.85546875" style="27" bestFit="1" customWidth="1"/>
    <col min="10746" max="10746" width="5.85546875" style="27" bestFit="1" customWidth="1"/>
    <col min="10747" max="10747" width="6.140625" style="27" bestFit="1" customWidth="1"/>
    <col min="10748" max="10748" width="4.42578125" style="27" bestFit="1" customWidth="1"/>
    <col min="10749" max="10749" width="6.85546875" style="27" bestFit="1" customWidth="1"/>
    <col min="10750" max="10750" width="4.42578125" style="27" bestFit="1" customWidth="1"/>
    <col min="10751" max="10751" width="8.42578125" style="27" bestFit="1" customWidth="1"/>
    <col min="10752" max="10752" width="1.85546875" style="27" bestFit="1" customWidth="1"/>
    <col min="10753" max="10753" width="9.85546875" style="27" bestFit="1" customWidth="1"/>
    <col min="10754" max="10755" width="9.140625" style="27"/>
    <col min="10756" max="10756" width="20.42578125" style="27" bestFit="1" customWidth="1"/>
    <col min="10757" max="10757" width="9.85546875" style="27" bestFit="1" customWidth="1"/>
    <col min="10758" max="10990" width="9.140625" style="27"/>
    <col min="10991" max="10991" width="14.7109375" style="27" bestFit="1" customWidth="1"/>
    <col min="10992" max="10992" width="16" style="27" customWidth="1"/>
    <col min="10993" max="10993" width="12.85546875" style="27" bestFit="1" customWidth="1"/>
    <col min="10994" max="10995" width="10.140625" style="27" bestFit="1" customWidth="1"/>
    <col min="10996" max="10996" width="22.42578125" style="27" bestFit="1" customWidth="1"/>
    <col min="10997" max="10997" width="14" style="27" customWidth="1"/>
    <col min="10998" max="10998" width="4.85546875" style="27" bestFit="1" customWidth="1"/>
    <col min="10999" max="10999" width="9.42578125" style="27" customWidth="1"/>
    <col min="11000" max="11000" width="12.42578125" style="27" bestFit="1" customWidth="1"/>
    <col min="11001" max="11001" width="7.85546875" style="27" bestFit="1" customWidth="1"/>
    <col min="11002" max="11002" width="5.85546875" style="27" bestFit="1" customWidth="1"/>
    <col min="11003" max="11003" width="6.140625" style="27" bestFit="1" customWidth="1"/>
    <col min="11004" max="11004" width="4.42578125" style="27" bestFit="1" customWidth="1"/>
    <col min="11005" max="11005" width="6.85546875" style="27" bestFit="1" customWidth="1"/>
    <col min="11006" max="11006" width="4.42578125" style="27" bestFit="1" customWidth="1"/>
    <col min="11007" max="11007" width="8.42578125" style="27" bestFit="1" customWidth="1"/>
    <col min="11008" max="11008" width="1.85546875" style="27" bestFit="1" customWidth="1"/>
    <col min="11009" max="11009" width="9.85546875" style="27" bestFit="1" customWidth="1"/>
    <col min="11010" max="11011" width="9.140625" style="27"/>
    <col min="11012" max="11012" width="20.42578125" style="27" bestFit="1" customWidth="1"/>
    <col min="11013" max="11013" width="9.85546875" style="27" bestFit="1" customWidth="1"/>
    <col min="11014" max="11246" width="9.140625" style="27"/>
    <col min="11247" max="11247" width="14.7109375" style="27" bestFit="1" customWidth="1"/>
    <col min="11248" max="11248" width="16" style="27" customWidth="1"/>
    <col min="11249" max="11249" width="12.85546875" style="27" bestFit="1" customWidth="1"/>
    <col min="11250" max="11251" width="10.140625" style="27" bestFit="1" customWidth="1"/>
    <col min="11252" max="11252" width="22.42578125" style="27" bestFit="1" customWidth="1"/>
    <col min="11253" max="11253" width="14" style="27" customWidth="1"/>
    <col min="11254" max="11254" width="4.85546875" style="27" bestFit="1" customWidth="1"/>
    <col min="11255" max="11255" width="9.42578125" style="27" customWidth="1"/>
    <col min="11256" max="11256" width="12.42578125" style="27" bestFit="1" customWidth="1"/>
    <col min="11257" max="11257" width="7.85546875" style="27" bestFit="1" customWidth="1"/>
    <col min="11258" max="11258" width="5.85546875" style="27" bestFit="1" customWidth="1"/>
    <col min="11259" max="11259" width="6.140625" style="27" bestFit="1" customWidth="1"/>
    <col min="11260" max="11260" width="4.42578125" style="27" bestFit="1" customWidth="1"/>
    <col min="11261" max="11261" width="6.85546875" style="27" bestFit="1" customWidth="1"/>
    <col min="11262" max="11262" width="4.42578125" style="27" bestFit="1" customWidth="1"/>
    <col min="11263" max="11263" width="8.42578125" style="27" bestFit="1" customWidth="1"/>
    <col min="11264" max="11264" width="1.85546875" style="27" bestFit="1" customWidth="1"/>
    <col min="11265" max="11265" width="9.85546875" style="27" bestFit="1" customWidth="1"/>
    <col min="11266" max="11267" width="9.140625" style="27"/>
    <col min="11268" max="11268" width="20.42578125" style="27" bestFit="1" customWidth="1"/>
    <col min="11269" max="11269" width="9.85546875" style="27" bestFit="1" customWidth="1"/>
    <col min="11270" max="11502" width="9.140625" style="27"/>
    <col min="11503" max="11503" width="14.7109375" style="27" bestFit="1" customWidth="1"/>
    <col min="11504" max="11504" width="16" style="27" customWidth="1"/>
    <col min="11505" max="11505" width="12.85546875" style="27" bestFit="1" customWidth="1"/>
    <col min="11506" max="11507" width="10.140625" style="27" bestFit="1" customWidth="1"/>
    <col min="11508" max="11508" width="22.42578125" style="27" bestFit="1" customWidth="1"/>
    <col min="11509" max="11509" width="14" style="27" customWidth="1"/>
    <col min="11510" max="11510" width="4.85546875" style="27" bestFit="1" customWidth="1"/>
    <col min="11511" max="11511" width="9.42578125" style="27" customWidth="1"/>
    <col min="11512" max="11512" width="12.42578125" style="27" bestFit="1" customWidth="1"/>
    <col min="11513" max="11513" width="7.85546875" style="27" bestFit="1" customWidth="1"/>
    <col min="11514" max="11514" width="5.85546875" style="27" bestFit="1" customWidth="1"/>
    <col min="11515" max="11515" width="6.140625" style="27" bestFit="1" customWidth="1"/>
    <col min="11516" max="11516" width="4.42578125" style="27" bestFit="1" customWidth="1"/>
    <col min="11517" max="11517" width="6.85546875" style="27" bestFit="1" customWidth="1"/>
    <col min="11518" max="11518" width="4.42578125" style="27" bestFit="1" customWidth="1"/>
    <col min="11519" max="11519" width="8.42578125" style="27" bestFit="1" customWidth="1"/>
    <col min="11520" max="11520" width="1.85546875" style="27" bestFit="1" customWidth="1"/>
    <col min="11521" max="11521" width="9.85546875" style="27" bestFit="1" customWidth="1"/>
    <col min="11522" max="11523" width="9.140625" style="27"/>
    <col min="11524" max="11524" width="20.42578125" style="27" bestFit="1" customWidth="1"/>
    <col min="11525" max="11525" width="9.85546875" style="27" bestFit="1" customWidth="1"/>
    <col min="11526" max="11758" width="9.140625" style="27"/>
    <col min="11759" max="11759" width="14.7109375" style="27" bestFit="1" customWidth="1"/>
    <col min="11760" max="11760" width="16" style="27" customWidth="1"/>
    <col min="11761" max="11761" width="12.85546875" style="27" bestFit="1" customWidth="1"/>
    <col min="11762" max="11763" width="10.140625" style="27" bestFit="1" customWidth="1"/>
    <col min="11764" max="11764" width="22.42578125" style="27" bestFit="1" customWidth="1"/>
    <col min="11765" max="11765" width="14" style="27" customWidth="1"/>
    <col min="11766" max="11766" width="4.85546875" style="27" bestFit="1" customWidth="1"/>
    <col min="11767" max="11767" width="9.42578125" style="27" customWidth="1"/>
    <col min="11768" max="11768" width="12.42578125" style="27" bestFit="1" customWidth="1"/>
    <col min="11769" max="11769" width="7.85546875" style="27" bestFit="1" customWidth="1"/>
    <col min="11770" max="11770" width="5.85546875" style="27" bestFit="1" customWidth="1"/>
    <col min="11771" max="11771" width="6.140625" style="27" bestFit="1" customWidth="1"/>
    <col min="11772" max="11772" width="4.42578125" style="27" bestFit="1" customWidth="1"/>
    <col min="11773" max="11773" width="6.85546875" style="27" bestFit="1" customWidth="1"/>
    <col min="11774" max="11774" width="4.42578125" style="27" bestFit="1" customWidth="1"/>
    <col min="11775" max="11775" width="8.42578125" style="27" bestFit="1" customWidth="1"/>
    <col min="11776" max="11776" width="1.85546875" style="27" bestFit="1" customWidth="1"/>
    <col min="11777" max="11777" width="9.85546875" style="27" bestFit="1" customWidth="1"/>
    <col min="11778" max="11779" width="9.140625" style="27"/>
    <col min="11780" max="11780" width="20.42578125" style="27" bestFit="1" customWidth="1"/>
    <col min="11781" max="11781" width="9.85546875" style="27" bestFit="1" customWidth="1"/>
    <col min="11782" max="12014" width="9.140625" style="27"/>
    <col min="12015" max="12015" width="14.7109375" style="27" bestFit="1" customWidth="1"/>
    <col min="12016" max="12016" width="16" style="27" customWidth="1"/>
    <col min="12017" max="12017" width="12.85546875" style="27" bestFit="1" customWidth="1"/>
    <col min="12018" max="12019" width="10.140625" style="27" bestFit="1" customWidth="1"/>
    <col min="12020" max="12020" width="22.42578125" style="27" bestFit="1" customWidth="1"/>
    <col min="12021" max="12021" width="14" style="27" customWidth="1"/>
    <col min="12022" max="12022" width="4.85546875" style="27" bestFit="1" customWidth="1"/>
    <col min="12023" max="12023" width="9.42578125" style="27" customWidth="1"/>
    <col min="12024" max="12024" width="12.42578125" style="27" bestFit="1" customWidth="1"/>
    <col min="12025" max="12025" width="7.85546875" style="27" bestFit="1" customWidth="1"/>
    <col min="12026" max="12026" width="5.85546875" style="27" bestFit="1" customWidth="1"/>
    <col min="12027" max="12027" width="6.140625" style="27" bestFit="1" customWidth="1"/>
    <col min="12028" max="12028" width="4.42578125" style="27" bestFit="1" customWidth="1"/>
    <col min="12029" max="12029" width="6.85546875" style="27" bestFit="1" customWidth="1"/>
    <col min="12030" max="12030" width="4.42578125" style="27" bestFit="1" customWidth="1"/>
    <col min="12031" max="12031" width="8.42578125" style="27" bestFit="1" customWidth="1"/>
    <col min="12032" max="12032" width="1.85546875" style="27" bestFit="1" customWidth="1"/>
    <col min="12033" max="12033" width="9.85546875" style="27" bestFit="1" customWidth="1"/>
    <col min="12034" max="12035" width="9.140625" style="27"/>
    <col min="12036" max="12036" width="20.42578125" style="27" bestFit="1" customWidth="1"/>
    <col min="12037" max="12037" width="9.85546875" style="27" bestFit="1" customWidth="1"/>
    <col min="12038" max="12270" width="9.140625" style="27"/>
    <col min="12271" max="12271" width="14.7109375" style="27" bestFit="1" customWidth="1"/>
    <col min="12272" max="12272" width="16" style="27" customWidth="1"/>
    <col min="12273" max="12273" width="12.85546875" style="27" bestFit="1" customWidth="1"/>
    <col min="12274" max="12275" width="10.140625" style="27" bestFit="1" customWidth="1"/>
    <col min="12276" max="12276" width="22.42578125" style="27" bestFit="1" customWidth="1"/>
    <col min="12277" max="12277" width="14" style="27" customWidth="1"/>
    <col min="12278" max="12278" width="4.85546875" style="27" bestFit="1" customWidth="1"/>
    <col min="12279" max="12279" width="9.42578125" style="27" customWidth="1"/>
    <col min="12280" max="12280" width="12.42578125" style="27" bestFit="1" customWidth="1"/>
    <col min="12281" max="12281" width="7.85546875" style="27" bestFit="1" customWidth="1"/>
    <col min="12282" max="12282" width="5.85546875" style="27" bestFit="1" customWidth="1"/>
    <col min="12283" max="12283" width="6.140625" style="27" bestFit="1" customWidth="1"/>
    <col min="12284" max="12284" width="4.42578125" style="27" bestFit="1" customWidth="1"/>
    <col min="12285" max="12285" width="6.85546875" style="27" bestFit="1" customWidth="1"/>
    <col min="12286" max="12286" width="4.42578125" style="27" bestFit="1" customWidth="1"/>
    <col min="12287" max="12287" width="8.42578125" style="27" bestFit="1" customWidth="1"/>
    <col min="12288" max="12288" width="1.85546875" style="27" bestFit="1" customWidth="1"/>
    <col min="12289" max="12289" width="9.85546875" style="27" bestFit="1" customWidth="1"/>
    <col min="12290" max="12291" width="9.140625" style="27"/>
    <col min="12292" max="12292" width="20.42578125" style="27" bestFit="1" customWidth="1"/>
    <col min="12293" max="12293" width="9.85546875" style="27" bestFit="1" customWidth="1"/>
    <col min="12294" max="12526" width="9.140625" style="27"/>
    <col min="12527" max="12527" width="14.7109375" style="27" bestFit="1" customWidth="1"/>
    <col min="12528" max="12528" width="16" style="27" customWidth="1"/>
    <col min="12529" max="12529" width="12.85546875" style="27" bestFit="1" customWidth="1"/>
    <col min="12530" max="12531" width="10.140625" style="27" bestFit="1" customWidth="1"/>
    <col min="12532" max="12532" width="22.42578125" style="27" bestFit="1" customWidth="1"/>
    <col min="12533" max="12533" width="14" style="27" customWidth="1"/>
    <col min="12534" max="12534" width="4.85546875" style="27" bestFit="1" customWidth="1"/>
    <col min="12535" max="12535" width="9.42578125" style="27" customWidth="1"/>
    <col min="12536" max="12536" width="12.42578125" style="27" bestFit="1" customWidth="1"/>
    <col min="12537" max="12537" width="7.85546875" style="27" bestFit="1" customWidth="1"/>
    <col min="12538" max="12538" width="5.85546875" style="27" bestFit="1" customWidth="1"/>
    <col min="12539" max="12539" width="6.140625" style="27" bestFit="1" customWidth="1"/>
    <col min="12540" max="12540" width="4.42578125" style="27" bestFit="1" customWidth="1"/>
    <col min="12541" max="12541" width="6.85546875" style="27" bestFit="1" customWidth="1"/>
    <col min="12542" max="12542" width="4.42578125" style="27" bestFit="1" customWidth="1"/>
    <col min="12543" max="12543" width="8.42578125" style="27" bestFit="1" customWidth="1"/>
    <col min="12544" max="12544" width="1.85546875" style="27" bestFit="1" customWidth="1"/>
    <col min="12545" max="12545" width="9.85546875" style="27" bestFit="1" customWidth="1"/>
    <col min="12546" max="12547" width="9.140625" style="27"/>
    <col min="12548" max="12548" width="20.42578125" style="27" bestFit="1" customWidth="1"/>
    <col min="12549" max="12549" width="9.85546875" style="27" bestFit="1" customWidth="1"/>
    <col min="12550" max="12782" width="9.140625" style="27"/>
    <col min="12783" max="12783" width="14.7109375" style="27" bestFit="1" customWidth="1"/>
    <col min="12784" max="12784" width="16" style="27" customWidth="1"/>
    <col min="12785" max="12785" width="12.85546875" style="27" bestFit="1" customWidth="1"/>
    <col min="12786" max="12787" width="10.140625" style="27" bestFit="1" customWidth="1"/>
    <col min="12788" max="12788" width="22.42578125" style="27" bestFit="1" customWidth="1"/>
    <col min="12789" max="12789" width="14" style="27" customWidth="1"/>
    <col min="12790" max="12790" width="4.85546875" style="27" bestFit="1" customWidth="1"/>
    <col min="12791" max="12791" width="9.42578125" style="27" customWidth="1"/>
    <col min="12792" max="12792" width="12.42578125" style="27" bestFit="1" customWidth="1"/>
    <col min="12793" max="12793" width="7.85546875" style="27" bestFit="1" customWidth="1"/>
    <col min="12794" max="12794" width="5.85546875" style="27" bestFit="1" customWidth="1"/>
    <col min="12795" max="12795" width="6.140625" style="27" bestFit="1" customWidth="1"/>
    <col min="12796" max="12796" width="4.42578125" style="27" bestFit="1" customWidth="1"/>
    <col min="12797" max="12797" width="6.85546875" style="27" bestFit="1" customWidth="1"/>
    <col min="12798" max="12798" width="4.42578125" style="27" bestFit="1" customWidth="1"/>
    <col min="12799" max="12799" width="8.42578125" style="27" bestFit="1" customWidth="1"/>
    <col min="12800" max="12800" width="1.85546875" style="27" bestFit="1" customWidth="1"/>
    <col min="12801" max="12801" width="9.85546875" style="27" bestFit="1" customWidth="1"/>
    <col min="12802" max="12803" width="9.140625" style="27"/>
    <col min="12804" max="12804" width="20.42578125" style="27" bestFit="1" customWidth="1"/>
    <col min="12805" max="12805" width="9.85546875" style="27" bestFit="1" customWidth="1"/>
    <col min="12806" max="13038" width="9.140625" style="27"/>
    <col min="13039" max="13039" width="14.7109375" style="27" bestFit="1" customWidth="1"/>
    <col min="13040" max="13040" width="16" style="27" customWidth="1"/>
    <col min="13041" max="13041" width="12.85546875" style="27" bestFit="1" customWidth="1"/>
    <col min="13042" max="13043" width="10.140625" style="27" bestFit="1" customWidth="1"/>
    <col min="13044" max="13044" width="22.42578125" style="27" bestFit="1" customWidth="1"/>
    <col min="13045" max="13045" width="14" style="27" customWidth="1"/>
    <col min="13046" max="13046" width="4.85546875" style="27" bestFit="1" customWidth="1"/>
    <col min="13047" max="13047" width="9.42578125" style="27" customWidth="1"/>
    <col min="13048" max="13048" width="12.42578125" style="27" bestFit="1" customWidth="1"/>
    <col min="13049" max="13049" width="7.85546875" style="27" bestFit="1" customWidth="1"/>
    <col min="13050" max="13050" width="5.85546875" style="27" bestFit="1" customWidth="1"/>
    <col min="13051" max="13051" width="6.140625" style="27" bestFit="1" customWidth="1"/>
    <col min="13052" max="13052" width="4.42578125" style="27" bestFit="1" customWidth="1"/>
    <col min="13053" max="13053" width="6.85546875" style="27" bestFit="1" customWidth="1"/>
    <col min="13054" max="13054" width="4.42578125" style="27" bestFit="1" customWidth="1"/>
    <col min="13055" max="13055" width="8.42578125" style="27" bestFit="1" customWidth="1"/>
    <col min="13056" max="13056" width="1.85546875" style="27" bestFit="1" customWidth="1"/>
    <col min="13057" max="13057" width="9.85546875" style="27" bestFit="1" customWidth="1"/>
    <col min="13058" max="13059" width="9.140625" style="27"/>
    <col min="13060" max="13060" width="20.42578125" style="27" bestFit="1" customWidth="1"/>
    <col min="13061" max="13061" width="9.85546875" style="27" bestFit="1" customWidth="1"/>
    <col min="13062" max="13294" width="9.140625" style="27"/>
    <col min="13295" max="13295" width="14.7109375" style="27" bestFit="1" customWidth="1"/>
    <col min="13296" max="13296" width="16" style="27" customWidth="1"/>
    <col min="13297" max="13297" width="12.85546875" style="27" bestFit="1" customWidth="1"/>
    <col min="13298" max="13299" width="10.140625" style="27" bestFit="1" customWidth="1"/>
    <col min="13300" max="13300" width="22.42578125" style="27" bestFit="1" customWidth="1"/>
    <col min="13301" max="13301" width="14" style="27" customWidth="1"/>
    <col min="13302" max="13302" width="4.85546875" style="27" bestFit="1" customWidth="1"/>
    <col min="13303" max="13303" width="9.42578125" style="27" customWidth="1"/>
    <col min="13304" max="13304" width="12.42578125" style="27" bestFit="1" customWidth="1"/>
    <col min="13305" max="13305" width="7.85546875" style="27" bestFit="1" customWidth="1"/>
    <col min="13306" max="13306" width="5.85546875" style="27" bestFit="1" customWidth="1"/>
    <col min="13307" max="13307" width="6.140625" style="27" bestFit="1" customWidth="1"/>
    <col min="13308" max="13308" width="4.42578125" style="27" bestFit="1" customWidth="1"/>
    <col min="13309" max="13309" width="6.85546875" style="27" bestFit="1" customWidth="1"/>
    <col min="13310" max="13310" width="4.42578125" style="27" bestFit="1" customWidth="1"/>
    <col min="13311" max="13311" width="8.42578125" style="27" bestFit="1" customWidth="1"/>
    <col min="13312" max="13312" width="1.85546875" style="27" bestFit="1" customWidth="1"/>
    <col min="13313" max="13313" width="9.85546875" style="27" bestFit="1" customWidth="1"/>
    <col min="13314" max="13315" width="9.140625" style="27"/>
    <col min="13316" max="13316" width="20.42578125" style="27" bestFit="1" customWidth="1"/>
    <col min="13317" max="13317" width="9.85546875" style="27" bestFit="1" customWidth="1"/>
    <col min="13318" max="13550" width="9.140625" style="27"/>
    <col min="13551" max="13551" width="14.7109375" style="27" bestFit="1" customWidth="1"/>
    <col min="13552" max="13552" width="16" style="27" customWidth="1"/>
    <col min="13553" max="13553" width="12.85546875" style="27" bestFit="1" customWidth="1"/>
    <col min="13554" max="13555" width="10.140625" style="27" bestFit="1" customWidth="1"/>
    <col min="13556" max="13556" width="22.42578125" style="27" bestFit="1" customWidth="1"/>
    <col min="13557" max="13557" width="14" style="27" customWidth="1"/>
    <col min="13558" max="13558" width="4.85546875" style="27" bestFit="1" customWidth="1"/>
    <col min="13559" max="13559" width="9.42578125" style="27" customWidth="1"/>
    <col min="13560" max="13560" width="12.42578125" style="27" bestFit="1" customWidth="1"/>
    <col min="13561" max="13561" width="7.85546875" style="27" bestFit="1" customWidth="1"/>
    <col min="13562" max="13562" width="5.85546875" style="27" bestFit="1" customWidth="1"/>
    <col min="13563" max="13563" width="6.140625" style="27" bestFit="1" customWidth="1"/>
    <col min="13564" max="13564" width="4.42578125" style="27" bestFit="1" customWidth="1"/>
    <col min="13565" max="13565" width="6.85546875" style="27" bestFit="1" customWidth="1"/>
    <col min="13566" max="13566" width="4.42578125" style="27" bestFit="1" customWidth="1"/>
    <col min="13567" max="13567" width="8.42578125" style="27" bestFit="1" customWidth="1"/>
    <col min="13568" max="13568" width="1.85546875" style="27" bestFit="1" customWidth="1"/>
    <col min="13569" max="13569" width="9.85546875" style="27" bestFit="1" customWidth="1"/>
    <col min="13570" max="13571" width="9.140625" style="27"/>
    <col min="13572" max="13572" width="20.42578125" style="27" bestFit="1" customWidth="1"/>
    <col min="13573" max="13573" width="9.85546875" style="27" bestFit="1" customWidth="1"/>
    <col min="13574" max="13806" width="9.140625" style="27"/>
    <col min="13807" max="13807" width="14.7109375" style="27" bestFit="1" customWidth="1"/>
    <col min="13808" max="13808" width="16" style="27" customWidth="1"/>
    <col min="13809" max="13809" width="12.85546875" style="27" bestFit="1" customWidth="1"/>
    <col min="13810" max="13811" width="10.140625" style="27" bestFit="1" customWidth="1"/>
    <col min="13812" max="13812" width="22.42578125" style="27" bestFit="1" customWidth="1"/>
    <col min="13813" max="13813" width="14" style="27" customWidth="1"/>
    <col min="13814" max="13814" width="4.85546875" style="27" bestFit="1" customWidth="1"/>
    <col min="13815" max="13815" width="9.42578125" style="27" customWidth="1"/>
    <col min="13816" max="13816" width="12.42578125" style="27" bestFit="1" customWidth="1"/>
    <col min="13817" max="13817" width="7.85546875" style="27" bestFit="1" customWidth="1"/>
    <col min="13818" max="13818" width="5.85546875" style="27" bestFit="1" customWidth="1"/>
    <col min="13819" max="13819" width="6.140625" style="27" bestFit="1" customWidth="1"/>
    <col min="13820" max="13820" width="4.42578125" style="27" bestFit="1" customWidth="1"/>
    <col min="13821" max="13821" width="6.85546875" style="27" bestFit="1" customWidth="1"/>
    <col min="13822" max="13822" width="4.42578125" style="27" bestFit="1" customWidth="1"/>
    <col min="13823" max="13823" width="8.42578125" style="27" bestFit="1" customWidth="1"/>
    <col min="13824" max="13824" width="1.85546875" style="27" bestFit="1" customWidth="1"/>
    <col min="13825" max="13825" width="9.85546875" style="27" bestFit="1" customWidth="1"/>
    <col min="13826" max="13827" width="9.140625" style="27"/>
    <col min="13828" max="13828" width="20.42578125" style="27" bestFit="1" customWidth="1"/>
    <col min="13829" max="13829" width="9.85546875" style="27" bestFit="1" customWidth="1"/>
    <col min="13830" max="14062" width="9.140625" style="27"/>
    <col min="14063" max="14063" width="14.7109375" style="27" bestFit="1" customWidth="1"/>
    <col min="14064" max="14064" width="16" style="27" customWidth="1"/>
    <col min="14065" max="14065" width="12.85546875" style="27" bestFit="1" customWidth="1"/>
    <col min="14066" max="14067" width="10.140625" style="27" bestFit="1" customWidth="1"/>
    <col min="14068" max="14068" width="22.42578125" style="27" bestFit="1" customWidth="1"/>
    <col min="14069" max="14069" width="14" style="27" customWidth="1"/>
    <col min="14070" max="14070" width="4.85546875" style="27" bestFit="1" customWidth="1"/>
    <col min="14071" max="14071" width="9.42578125" style="27" customWidth="1"/>
    <col min="14072" max="14072" width="12.42578125" style="27" bestFit="1" customWidth="1"/>
    <col min="14073" max="14073" width="7.85546875" style="27" bestFit="1" customWidth="1"/>
    <col min="14074" max="14074" width="5.85546875" style="27" bestFit="1" customWidth="1"/>
    <col min="14075" max="14075" width="6.140625" style="27" bestFit="1" customWidth="1"/>
    <col min="14076" max="14076" width="4.42578125" style="27" bestFit="1" customWidth="1"/>
    <col min="14077" max="14077" width="6.85546875" style="27" bestFit="1" customWidth="1"/>
    <col min="14078" max="14078" width="4.42578125" style="27" bestFit="1" customWidth="1"/>
    <col min="14079" max="14079" width="8.42578125" style="27" bestFit="1" customWidth="1"/>
    <col min="14080" max="14080" width="1.85546875" style="27" bestFit="1" customWidth="1"/>
    <col min="14081" max="14081" width="9.85546875" style="27" bestFit="1" customWidth="1"/>
    <col min="14082" max="14083" width="9.140625" style="27"/>
    <col min="14084" max="14084" width="20.42578125" style="27" bestFit="1" customWidth="1"/>
    <col min="14085" max="14085" width="9.85546875" style="27" bestFit="1" customWidth="1"/>
    <col min="14086" max="14318" width="9.140625" style="27"/>
    <col min="14319" max="14319" width="14.7109375" style="27" bestFit="1" customWidth="1"/>
    <col min="14320" max="14320" width="16" style="27" customWidth="1"/>
    <col min="14321" max="14321" width="12.85546875" style="27" bestFit="1" customWidth="1"/>
    <col min="14322" max="14323" width="10.140625" style="27" bestFit="1" customWidth="1"/>
    <col min="14324" max="14324" width="22.42578125" style="27" bestFit="1" customWidth="1"/>
    <col min="14325" max="14325" width="14" style="27" customWidth="1"/>
    <col min="14326" max="14326" width="4.85546875" style="27" bestFit="1" customWidth="1"/>
    <col min="14327" max="14327" width="9.42578125" style="27" customWidth="1"/>
    <col min="14328" max="14328" width="12.42578125" style="27" bestFit="1" customWidth="1"/>
    <col min="14329" max="14329" width="7.85546875" style="27" bestFit="1" customWidth="1"/>
    <col min="14330" max="14330" width="5.85546875" style="27" bestFit="1" customWidth="1"/>
    <col min="14331" max="14331" width="6.140625" style="27" bestFit="1" customWidth="1"/>
    <col min="14332" max="14332" width="4.42578125" style="27" bestFit="1" customWidth="1"/>
    <col min="14333" max="14333" width="6.85546875" style="27" bestFit="1" customWidth="1"/>
    <col min="14334" max="14334" width="4.42578125" style="27" bestFit="1" customWidth="1"/>
    <col min="14335" max="14335" width="8.42578125" style="27" bestFit="1" customWidth="1"/>
    <col min="14336" max="14336" width="1.85546875" style="27" bestFit="1" customWidth="1"/>
    <col min="14337" max="14337" width="9.85546875" style="27" bestFit="1" customWidth="1"/>
    <col min="14338" max="14339" width="9.140625" style="27"/>
    <col min="14340" max="14340" width="20.42578125" style="27" bestFit="1" customWidth="1"/>
    <col min="14341" max="14341" width="9.85546875" style="27" bestFit="1" customWidth="1"/>
    <col min="14342" max="14574" width="9.140625" style="27"/>
    <col min="14575" max="14575" width="14.7109375" style="27" bestFit="1" customWidth="1"/>
    <col min="14576" max="14576" width="16" style="27" customWidth="1"/>
    <col min="14577" max="14577" width="12.85546875" style="27" bestFit="1" customWidth="1"/>
    <col min="14578" max="14579" width="10.140625" style="27" bestFit="1" customWidth="1"/>
    <col min="14580" max="14580" width="22.42578125" style="27" bestFit="1" customWidth="1"/>
    <col min="14581" max="14581" width="14" style="27" customWidth="1"/>
    <col min="14582" max="14582" width="4.85546875" style="27" bestFit="1" customWidth="1"/>
    <col min="14583" max="14583" width="9.42578125" style="27" customWidth="1"/>
    <col min="14584" max="14584" width="12.42578125" style="27" bestFit="1" customWidth="1"/>
    <col min="14585" max="14585" width="7.85546875" style="27" bestFit="1" customWidth="1"/>
    <col min="14586" max="14586" width="5.85546875" style="27" bestFit="1" customWidth="1"/>
    <col min="14587" max="14587" width="6.140625" style="27" bestFit="1" customWidth="1"/>
    <col min="14588" max="14588" width="4.42578125" style="27" bestFit="1" customWidth="1"/>
    <col min="14589" max="14589" width="6.85546875" style="27" bestFit="1" customWidth="1"/>
    <col min="14590" max="14590" width="4.42578125" style="27" bestFit="1" customWidth="1"/>
    <col min="14591" max="14591" width="8.42578125" style="27" bestFit="1" customWidth="1"/>
    <col min="14592" max="14592" width="1.85546875" style="27" bestFit="1" customWidth="1"/>
    <col min="14593" max="14593" width="9.85546875" style="27" bestFit="1" customWidth="1"/>
    <col min="14594" max="14595" width="9.140625" style="27"/>
    <col min="14596" max="14596" width="20.42578125" style="27" bestFit="1" customWidth="1"/>
    <col min="14597" max="14597" width="9.85546875" style="27" bestFit="1" customWidth="1"/>
    <col min="14598" max="14830" width="9.140625" style="27"/>
    <col min="14831" max="14831" width="14.7109375" style="27" bestFit="1" customWidth="1"/>
    <col min="14832" max="14832" width="16" style="27" customWidth="1"/>
    <col min="14833" max="14833" width="12.85546875" style="27" bestFit="1" customWidth="1"/>
    <col min="14834" max="14835" width="10.140625" style="27" bestFit="1" customWidth="1"/>
    <col min="14836" max="14836" width="22.42578125" style="27" bestFit="1" customWidth="1"/>
    <col min="14837" max="14837" width="14" style="27" customWidth="1"/>
    <col min="14838" max="14838" width="4.85546875" style="27" bestFit="1" customWidth="1"/>
    <col min="14839" max="14839" width="9.42578125" style="27" customWidth="1"/>
    <col min="14840" max="14840" width="12.42578125" style="27" bestFit="1" customWidth="1"/>
    <col min="14841" max="14841" width="7.85546875" style="27" bestFit="1" customWidth="1"/>
    <col min="14842" max="14842" width="5.85546875" style="27" bestFit="1" customWidth="1"/>
    <col min="14843" max="14843" width="6.140625" style="27" bestFit="1" customWidth="1"/>
    <col min="14844" max="14844" width="4.42578125" style="27" bestFit="1" customWidth="1"/>
    <col min="14845" max="14845" width="6.85546875" style="27" bestFit="1" customWidth="1"/>
    <col min="14846" max="14846" width="4.42578125" style="27" bestFit="1" customWidth="1"/>
    <col min="14847" max="14847" width="8.42578125" style="27" bestFit="1" customWidth="1"/>
    <col min="14848" max="14848" width="1.85546875" style="27" bestFit="1" customWidth="1"/>
    <col min="14849" max="14849" width="9.85546875" style="27" bestFit="1" customWidth="1"/>
    <col min="14850" max="14851" width="9.140625" style="27"/>
    <col min="14852" max="14852" width="20.42578125" style="27" bestFit="1" customWidth="1"/>
    <col min="14853" max="14853" width="9.85546875" style="27" bestFit="1" customWidth="1"/>
    <col min="14854" max="15086" width="9.140625" style="27"/>
    <col min="15087" max="15087" width="14.7109375" style="27" bestFit="1" customWidth="1"/>
    <col min="15088" max="15088" width="16" style="27" customWidth="1"/>
    <col min="15089" max="15089" width="12.85546875" style="27" bestFit="1" customWidth="1"/>
    <col min="15090" max="15091" width="10.140625" style="27" bestFit="1" customWidth="1"/>
    <col min="15092" max="15092" width="22.42578125" style="27" bestFit="1" customWidth="1"/>
    <col min="15093" max="15093" width="14" style="27" customWidth="1"/>
    <col min="15094" max="15094" width="4.85546875" style="27" bestFit="1" customWidth="1"/>
    <col min="15095" max="15095" width="9.42578125" style="27" customWidth="1"/>
    <col min="15096" max="15096" width="12.42578125" style="27" bestFit="1" customWidth="1"/>
    <col min="15097" max="15097" width="7.85546875" style="27" bestFit="1" customWidth="1"/>
    <col min="15098" max="15098" width="5.85546875" style="27" bestFit="1" customWidth="1"/>
    <col min="15099" max="15099" width="6.140625" style="27" bestFit="1" customWidth="1"/>
    <col min="15100" max="15100" width="4.42578125" style="27" bestFit="1" customWidth="1"/>
    <col min="15101" max="15101" width="6.85546875" style="27" bestFit="1" customWidth="1"/>
    <col min="15102" max="15102" width="4.42578125" style="27" bestFit="1" customWidth="1"/>
    <col min="15103" max="15103" width="8.42578125" style="27" bestFit="1" customWidth="1"/>
    <col min="15104" max="15104" width="1.85546875" style="27" bestFit="1" customWidth="1"/>
    <col min="15105" max="15105" width="9.85546875" style="27" bestFit="1" customWidth="1"/>
    <col min="15106" max="15107" width="9.140625" style="27"/>
    <col min="15108" max="15108" width="20.42578125" style="27" bestFit="1" customWidth="1"/>
    <col min="15109" max="15109" width="9.85546875" style="27" bestFit="1" customWidth="1"/>
    <col min="15110" max="15342" width="9.140625" style="27"/>
    <col min="15343" max="15343" width="14.7109375" style="27" bestFit="1" customWidth="1"/>
    <col min="15344" max="15344" width="16" style="27" customWidth="1"/>
    <col min="15345" max="15345" width="12.85546875" style="27" bestFit="1" customWidth="1"/>
    <col min="15346" max="15347" width="10.140625" style="27" bestFit="1" customWidth="1"/>
    <col min="15348" max="15348" width="22.42578125" style="27" bestFit="1" customWidth="1"/>
    <col min="15349" max="15349" width="14" style="27" customWidth="1"/>
    <col min="15350" max="15350" width="4.85546875" style="27" bestFit="1" customWidth="1"/>
    <col min="15351" max="15351" width="9.42578125" style="27" customWidth="1"/>
    <col min="15352" max="15352" width="12.42578125" style="27" bestFit="1" customWidth="1"/>
    <col min="15353" max="15353" width="7.85546875" style="27" bestFit="1" customWidth="1"/>
    <col min="15354" max="15354" width="5.85546875" style="27" bestFit="1" customWidth="1"/>
    <col min="15355" max="15355" width="6.140625" style="27" bestFit="1" customWidth="1"/>
    <col min="15356" max="15356" width="4.42578125" style="27" bestFit="1" customWidth="1"/>
    <col min="15357" max="15357" width="6.85546875" style="27" bestFit="1" customWidth="1"/>
    <col min="15358" max="15358" width="4.42578125" style="27" bestFit="1" customWidth="1"/>
    <col min="15359" max="15359" width="8.42578125" style="27" bestFit="1" customWidth="1"/>
    <col min="15360" max="15360" width="1.85546875" style="27" bestFit="1" customWidth="1"/>
    <col min="15361" max="15361" width="9.85546875" style="27" bestFit="1" customWidth="1"/>
    <col min="15362" max="15363" width="9.140625" style="27"/>
    <col min="15364" max="15364" width="20.42578125" style="27" bestFit="1" customWidth="1"/>
    <col min="15365" max="15365" width="9.85546875" style="27" bestFit="1" customWidth="1"/>
    <col min="15366" max="15598" width="9.140625" style="27"/>
    <col min="15599" max="15599" width="14.7109375" style="27" bestFit="1" customWidth="1"/>
    <col min="15600" max="15600" width="16" style="27" customWidth="1"/>
    <col min="15601" max="15601" width="12.85546875" style="27" bestFit="1" customWidth="1"/>
    <col min="15602" max="15603" width="10.140625" style="27" bestFit="1" customWidth="1"/>
    <col min="15604" max="15604" width="22.42578125" style="27" bestFit="1" customWidth="1"/>
    <col min="15605" max="15605" width="14" style="27" customWidth="1"/>
    <col min="15606" max="15606" width="4.85546875" style="27" bestFit="1" customWidth="1"/>
    <col min="15607" max="15607" width="9.42578125" style="27" customWidth="1"/>
    <col min="15608" max="15608" width="12.42578125" style="27" bestFit="1" customWidth="1"/>
    <col min="15609" max="15609" width="7.85546875" style="27" bestFit="1" customWidth="1"/>
    <col min="15610" max="15610" width="5.85546875" style="27" bestFit="1" customWidth="1"/>
    <col min="15611" max="15611" width="6.140625" style="27" bestFit="1" customWidth="1"/>
    <col min="15612" max="15612" width="4.42578125" style="27" bestFit="1" customWidth="1"/>
    <col min="15613" max="15613" width="6.85546875" style="27" bestFit="1" customWidth="1"/>
    <col min="15614" max="15614" width="4.42578125" style="27" bestFit="1" customWidth="1"/>
    <col min="15615" max="15615" width="8.42578125" style="27" bestFit="1" customWidth="1"/>
    <col min="15616" max="15616" width="1.85546875" style="27" bestFit="1" customWidth="1"/>
    <col min="15617" max="15617" width="9.85546875" style="27" bestFit="1" customWidth="1"/>
    <col min="15618" max="15619" width="9.140625" style="27"/>
    <col min="15620" max="15620" width="20.42578125" style="27" bestFit="1" customWidth="1"/>
    <col min="15621" max="15621" width="9.85546875" style="27" bestFit="1" customWidth="1"/>
    <col min="15622" max="15854" width="9.140625" style="27"/>
    <col min="15855" max="15855" width="14.7109375" style="27" bestFit="1" customWidth="1"/>
    <col min="15856" max="15856" width="16" style="27" customWidth="1"/>
    <col min="15857" max="15857" width="12.85546875" style="27" bestFit="1" customWidth="1"/>
    <col min="15858" max="15859" width="10.140625" style="27" bestFit="1" customWidth="1"/>
    <col min="15860" max="15860" width="22.42578125" style="27" bestFit="1" customWidth="1"/>
    <col min="15861" max="15861" width="14" style="27" customWidth="1"/>
    <col min="15862" max="15862" width="4.85546875" style="27" bestFit="1" customWidth="1"/>
    <col min="15863" max="15863" width="9.42578125" style="27" customWidth="1"/>
    <col min="15864" max="15864" width="12.42578125" style="27" bestFit="1" customWidth="1"/>
    <col min="15865" max="15865" width="7.85546875" style="27" bestFit="1" customWidth="1"/>
    <col min="15866" max="15866" width="5.85546875" style="27" bestFit="1" customWidth="1"/>
    <col min="15867" max="15867" width="6.140625" style="27" bestFit="1" customWidth="1"/>
    <col min="15868" max="15868" width="4.42578125" style="27" bestFit="1" customWidth="1"/>
    <col min="15869" max="15869" width="6.85546875" style="27" bestFit="1" customWidth="1"/>
    <col min="15870" max="15870" width="4.42578125" style="27" bestFit="1" customWidth="1"/>
    <col min="15871" max="15871" width="8.42578125" style="27" bestFit="1" customWidth="1"/>
    <col min="15872" max="15872" width="1.85546875" style="27" bestFit="1" customWidth="1"/>
    <col min="15873" max="15873" width="9.85546875" style="27" bestFit="1" customWidth="1"/>
    <col min="15874" max="15875" width="9.140625" style="27"/>
    <col min="15876" max="15876" width="20.42578125" style="27" bestFit="1" customWidth="1"/>
    <col min="15877" max="15877" width="9.85546875" style="27" bestFit="1" customWidth="1"/>
    <col min="15878" max="16110" width="9.140625" style="27"/>
    <col min="16111" max="16111" width="14.7109375" style="27" bestFit="1" customWidth="1"/>
    <col min="16112" max="16112" width="16" style="27" customWidth="1"/>
    <col min="16113" max="16113" width="12.85546875" style="27" bestFit="1" customWidth="1"/>
    <col min="16114" max="16115" width="10.140625" style="27" bestFit="1" customWidth="1"/>
    <col min="16116" max="16116" width="22.42578125" style="27" bestFit="1" customWidth="1"/>
    <col min="16117" max="16117" width="14" style="27" customWidth="1"/>
    <col min="16118" max="16118" width="4.85546875" style="27" bestFit="1" customWidth="1"/>
    <col min="16119" max="16119" width="9.42578125" style="27" customWidth="1"/>
    <col min="16120" max="16120" width="12.42578125" style="27" bestFit="1" customWidth="1"/>
    <col min="16121" max="16121" width="7.85546875" style="27" bestFit="1" customWidth="1"/>
    <col min="16122" max="16122" width="5.85546875" style="27" bestFit="1" customWidth="1"/>
    <col min="16123" max="16123" width="6.140625" style="27" bestFit="1" customWidth="1"/>
    <col min="16124" max="16124" width="4.42578125" style="27" bestFit="1" customWidth="1"/>
    <col min="16125" max="16125" width="6.85546875" style="27" bestFit="1" customWidth="1"/>
    <col min="16126" max="16126" width="4.42578125" style="27" bestFit="1" customWidth="1"/>
    <col min="16127" max="16127" width="8.42578125" style="27" bestFit="1" customWidth="1"/>
    <col min="16128" max="16128" width="1.85546875" style="27" bestFit="1" customWidth="1"/>
    <col min="16129" max="16129" width="9.85546875" style="27" bestFit="1" customWidth="1"/>
    <col min="16130" max="16131" width="9.140625" style="27"/>
    <col min="16132" max="16132" width="20.42578125" style="27" bestFit="1" customWidth="1"/>
    <col min="16133" max="16133" width="9.85546875" style="27" bestFit="1" customWidth="1"/>
    <col min="16134" max="16384" width="9.140625" style="27"/>
  </cols>
  <sheetData>
    <row r="1" spans="1:19" ht="39" customHeight="1" thickTop="1" thickBot="1">
      <c r="A1" s="83" t="s">
        <v>116</v>
      </c>
      <c r="B1" s="87">
        <v>800000</v>
      </c>
      <c r="C1" s="83" t="s">
        <v>116</v>
      </c>
      <c r="D1" s="85"/>
      <c r="E1" s="86"/>
      <c r="F1" s="86">
        <v>1</v>
      </c>
      <c r="G1" s="86">
        <f>+F1+1</f>
        <v>2</v>
      </c>
      <c r="H1" s="86">
        <f t="shared" ref="H1:K1" si="0">+G1+1</f>
        <v>3</v>
      </c>
      <c r="I1" s="86">
        <f t="shared" si="0"/>
        <v>4</v>
      </c>
      <c r="J1" s="86">
        <f t="shared" si="0"/>
        <v>5</v>
      </c>
      <c r="K1" s="86">
        <f t="shared" si="0"/>
        <v>6</v>
      </c>
    </row>
    <row r="2" spans="1:19" ht="54.75" customHeight="1" thickTop="1" thickBot="1">
      <c r="A2" s="83" t="s">
        <v>118</v>
      </c>
      <c r="B2" s="84">
        <f>VLOOKUP($B$1,$B$5:$C$10,2,0)</f>
        <v>179750</v>
      </c>
      <c r="C2" s="83" t="s">
        <v>118</v>
      </c>
      <c r="D2" s="85"/>
      <c r="E2" s="136" t="s">
        <v>119</v>
      </c>
      <c r="F2" s="136" t="s">
        <v>120</v>
      </c>
      <c r="G2" s="136" t="s">
        <v>121</v>
      </c>
      <c r="H2" s="136" t="s">
        <v>122</v>
      </c>
      <c r="I2" s="136" t="s">
        <v>123</v>
      </c>
      <c r="J2" s="136" t="s">
        <v>124</v>
      </c>
      <c r="K2" s="136" t="s">
        <v>125</v>
      </c>
      <c r="M2" s="208" t="s">
        <v>157</v>
      </c>
      <c r="N2" s="208"/>
      <c r="O2" s="208"/>
      <c r="P2" s="208"/>
      <c r="Q2" s="208"/>
    </row>
    <row r="3" spans="1:19" ht="51.75" customHeight="1" thickTop="1" thickBot="1">
      <c r="A3" s="226" t="s">
        <v>138</v>
      </c>
      <c r="B3" s="226"/>
      <c r="C3" s="227"/>
      <c r="D3" s="85">
        <v>1</v>
      </c>
      <c r="E3" s="137">
        <v>0</v>
      </c>
      <c r="F3" s="136" t="s">
        <v>126</v>
      </c>
      <c r="G3" s="138">
        <v>0</v>
      </c>
      <c r="H3" s="138">
        <v>0</v>
      </c>
      <c r="I3" s="138">
        <v>0</v>
      </c>
      <c r="J3" s="138">
        <v>0</v>
      </c>
      <c r="K3" s="138">
        <v>0</v>
      </c>
      <c r="M3" s="208"/>
      <c r="N3" s="208"/>
      <c r="O3" s="208"/>
      <c r="P3" s="208"/>
      <c r="Q3" s="208"/>
    </row>
    <row r="4" spans="1:19" s="82" customFormat="1" ht="57.75" customHeight="1" thickTop="1" thickBot="1">
      <c r="A4" s="226"/>
      <c r="B4" s="226"/>
      <c r="C4" s="227"/>
      <c r="D4" s="85">
        <f>+D3+1</f>
        <v>2</v>
      </c>
      <c r="E4" s="137">
        <v>2.5000000000000001E-2</v>
      </c>
      <c r="F4" s="136" t="s">
        <v>127</v>
      </c>
      <c r="G4" s="136" t="s">
        <v>137</v>
      </c>
      <c r="H4" s="138">
        <v>0</v>
      </c>
      <c r="I4" s="138">
        <v>0</v>
      </c>
      <c r="J4" s="138">
        <v>0</v>
      </c>
      <c r="K4" s="138">
        <v>0</v>
      </c>
      <c r="M4" s="228" t="s">
        <v>139</v>
      </c>
      <c r="N4" s="228"/>
      <c r="O4" s="228"/>
      <c r="P4" s="228"/>
      <c r="Q4" s="228"/>
    </row>
    <row r="5" spans="1:19" ht="27" customHeight="1" thickTop="1" thickBot="1">
      <c r="A5" s="88" t="s">
        <v>111</v>
      </c>
      <c r="B5" s="89">
        <f>IF($B$1&lt;=600000,$B$1,0)</f>
        <v>0</v>
      </c>
      <c r="C5" s="90" t="str">
        <f>IF(B5&lt;=15000,"",IF(B5&lt;=30000,(B5*2.5%)-375,IF(B5&lt;=45000,(B5*10%)-2625,IF(B5&lt;=60000,(B5*15%)-4875,IF(B5&lt;=200000,(B5*20%)-7875,IF(B5&lt;=400000,(B5*22.5%)-12875,IF(B5&gt;400000,(B5*25%)-22875,"000")))))))</f>
        <v/>
      </c>
      <c r="D5" s="91">
        <f t="shared" ref="D5:D9" si="1">+D4+1</f>
        <v>3</v>
      </c>
      <c r="E5" s="137">
        <v>0.1</v>
      </c>
      <c r="F5" s="136" t="s">
        <v>128</v>
      </c>
      <c r="G5" s="136" t="s">
        <v>128</v>
      </c>
      <c r="H5" s="136" t="s">
        <v>136</v>
      </c>
      <c r="I5" s="138">
        <v>0</v>
      </c>
      <c r="J5" s="138">
        <v>0</v>
      </c>
      <c r="K5" s="138">
        <v>0</v>
      </c>
      <c r="M5" s="228"/>
      <c r="N5" s="228"/>
      <c r="O5" s="228"/>
      <c r="P5" s="228"/>
      <c r="Q5" s="228"/>
    </row>
    <row r="6" spans="1:19" ht="33.75" customHeight="1" thickTop="1" thickBot="1">
      <c r="A6" s="92" t="s">
        <v>112</v>
      </c>
      <c r="B6" s="93">
        <f>IF(AND($B$1&gt;600000,$B$1&lt;=700000),$B$1,0)</f>
        <v>0</v>
      </c>
      <c r="C6" s="94">
        <f>IF(B6&lt;=30000,(B6*2.5%),IF(B6&lt;=45000,(B6*10%)-2250,IF(B6&lt;=60000,(B6*15%)-4500,IF(B6&lt;=200000,(B6*20%)-7500,IF(B6&lt;=400000,(B6*22.5%)-12500,IF(B6&gt;400000,(B6*25%)-22500,"000"))))))</f>
        <v>0</v>
      </c>
      <c r="D6" s="91">
        <f t="shared" si="1"/>
        <v>4</v>
      </c>
      <c r="E6" s="137">
        <v>0.15</v>
      </c>
      <c r="F6" s="136" t="s">
        <v>129</v>
      </c>
      <c r="G6" s="136" t="s">
        <v>129</v>
      </c>
      <c r="H6" s="136" t="s">
        <v>129</v>
      </c>
      <c r="I6" s="136" t="s">
        <v>135</v>
      </c>
      <c r="J6" s="138">
        <v>0</v>
      </c>
      <c r="K6" s="138">
        <v>0</v>
      </c>
    </row>
    <row r="7" spans="1:19" ht="33.75" customHeight="1" thickTop="1" thickBot="1">
      <c r="A7" s="92" t="s">
        <v>114</v>
      </c>
      <c r="B7" s="93">
        <f>IF(AND($B$1&gt;700000,$B$1&lt;=800000),$B$1,0)</f>
        <v>800000</v>
      </c>
      <c r="C7" s="94">
        <f>IF(B7&lt;=45000,(B7*10%),IF(B7&lt;=60000,(B7*15%)-2250,IF(B7&lt;=200000,(B7*20%)-5250,IF(B7&lt;=400000,(B7*22.5%)-10250,IF(B7&gt;400000,(B7*25%)-20250,"000")))))</f>
        <v>179750</v>
      </c>
      <c r="D7" s="91">
        <f t="shared" si="1"/>
        <v>5</v>
      </c>
      <c r="E7" s="137">
        <v>0.2</v>
      </c>
      <c r="F7" s="136" t="s">
        <v>130</v>
      </c>
      <c r="G7" s="136" t="s">
        <v>130</v>
      </c>
      <c r="H7" s="136" t="s">
        <v>130</v>
      </c>
      <c r="I7" s="136" t="s">
        <v>130</v>
      </c>
      <c r="J7" s="136" t="s">
        <v>134</v>
      </c>
      <c r="K7" s="138">
        <v>0</v>
      </c>
      <c r="N7" s="27">
        <v>2000</v>
      </c>
    </row>
    <row r="8" spans="1:19" ht="33.75" customHeight="1" thickTop="1" thickBot="1">
      <c r="A8" s="92" t="s">
        <v>113</v>
      </c>
      <c r="B8" s="93">
        <f>IF(AND($B$1&gt;800000,$B$1&lt;=900000),$B$1,0)</f>
        <v>0</v>
      </c>
      <c r="C8" s="94">
        <f>IF(B8&lt;=60000,(B8*15%),IF(B8&lt;=200000,(B8*20%)-3000,IF(B8&lt;=400000,(B8*22.5%)-8000,IF(B8&gt;400000,(B8*25%)-18000,"000"))))</f>
        <v>0</v>
      </c>
      <c r="D8" s="91">
        <f t="shared" si="1"/>
        <v>6</v>
      </c>
      <c r="E8" s="137">
        <v>0.22500000000000001</v>
      </c>
      <c r="F8" s="136" t="s">
        <v>131</v>
      </c>
      <c r="G8" s="136" t="s">
        <v>131</v>
      </c>
      <c r="H8" s="136" t="s">
        <v>131</v>
      </c>
      <c r="I8" s="136" t="s">
        <v>131</v>
      </c>
      <c r="J8" s="136" t="s">
        <v>131</v>
      </c>
      <c r="K8" s="136" t="s">
        <v>133</v>
      </c>
      <c r="N8" s="27">
        <v>1250</v>
      </c>
      <c r="O8" s="27">
        <f>+N8*2.5/100</f>
        <v>31.25</v>
      </c>
    </row>
    <row r="9" spans="1:19" ht="33.75" customHeight="1" thickTop="1" thickBot="1">
      <c r="A9" s="92" t="s">
        <v>115</v>
      </c>
      <c r="B9" s="93">
        <f>IF(AND($B$1&gt;900000,$B$1&lt;=1000000),$B$1,0)</f>
        <v>0</v>
      </c>
      <c r="C9" s="94">
        <f>IF(B9&lt;=200000,(B9*20%),IF(B9&lt;=400000,(B9*22.5%)-5000,IF(B9&gt;400000,(B9*25%)-15000,"000")))</f>
        <v>0</v>
      </c>
      <c r="D9" s="91">
        <f t="shared" si="1"/>
        <v>7</v>
      </c>
      <c r="E9" s="137">
        <v>0.25</v>
      </c>
      <c r="F9" s="136" t="s">
        <v>132</v>
      </c>
      <c r="G9" s="136" t="s">
        <v>132</v>
      </c>
      <c r="H9" s="136" t="s">
        <v>132</v>
      </c>
      <c r="I9" s="136" t="s">
        <v>132</v>
      </c>
      <c r="J9" s="136" t="s">
        <v>132</v>
      </c>
      <c r="K9" s="136" t="s">
        <v>132</v>
      </c>
      <c r="N9" s="27">
        <v>1250</v>
      </c>
      <c r="O9" s="27">
        <f>+N9*0.1</f>
        <v>125</v>
      </c>
    </row>
    <row r="10" spans="1:19" ht="17.25" thickTop="1" thickBot="1">
      <c r="A10" s="95" t="s">
        <v>117</v>
      </c>
      <c r="B10" s="96">
        <f>IF(1000000&lt;$B$1,$B$1,0)</f>
        <v>0</v>
      </c>
      <c r="C10" s="97">
        <f>IF(B10&lt;=400000,(B10*22.5%),IF(B10&gt;400000,(B10*25%)-10000,"000"))</f>
        <v>0</v>
      </c>
      <c r="N10" s="27">
        <v>1250</v>
      </c>
      <c r="O10" s="27">
        <f>+N10*0.15</f>
        <v>187.5</v>
      </c>
    </row>
    <row r="11" spans="1:19" ht="17.25" customHeight="1" thickBot="1">
      <c r="G11" s="229" t="s">
        <v>140</v>
      </c>
      <c r="H11" s="229"/>
      <c r="I11" s="229"/>
      <c r="J11" s="229"/>
      <c r="N11" s="27">
        <v>4250</v>
      </c>
      <c r="O11" s="27">
        <f>+N11*0.2</f>
        <v>850</v>
      </c>
    </row>
    <row r="12" spans="1:19">
      <c r="B12" s="81">
        <f>+B1</f>
        <v>800000</v>
      </c>
      <c r="C12" s="98">
        <f>IF(B12&lt;=15000,0,IF(B12&lt;=30000,(B12*2.5%)-375,IF(B12&lt;=45000,(B12*10%)-2625,IF(B12&lt;=60000,(B12*15%)-4875,IF(B12&lt;=200000,(B12*20%)-7875,IF(B12&lt;=400000,(B12*22.5%)-12875,IF(B12&lt;=600000,(B12*25%)-22875,IF(B12&lt;=700000,(B12*25%)-22500,IF(B12&lt;=800000,(B12*25%)-20250,IF(B12&lt;=900000,(B12*25%)-18000,IF(B12&lt;=1000000,(B12*25%)-15000,IF(B12&gt;1000000,(B12*25%)-10000,"000"))))))))))))</f>
        <v>179750</v>
      </c>
      <c r="E12" s="158">
        <f>+C12-B2</f>
        <v>0</v>
      </c>
      <c r="G12" s="229"/>
      <c r="H12" s="229"/>
      <c r="I12" s="229"/>
      <c r="J12" s="229"/>
    </row>
    <row r="13" spans="1:19">
      <c r="G13" s="229"/>
      <c r="H13" s="229"/>
      <c r="I13" s="229"/>
      <c r="J13" s="229"/>
    </row>
    <row r="14" spans="1:19" ht="16.5" thickBot="1">
      <c r="E14" s="160"/>
    </row>
    <row r="15" spans="1:19" ht="16.5" customHeight="1" thickTop="1" thickBot="1">
      <c r="A15" s="27">
        <f>400000*0.225+800000*0.25</f>
        <v>290000</v>
      </c>
      <c r="E15" s="160"/>
      <c r="F15" s="37"/>
      <c r="G15" s="133"/>
      <c r="H15" s="124"/>
      <c r="I15" s="124"/>
      <c r="J15" s="124"/>
      <c r="K15" s="124"/>
      <c r="L15" s="121"/>
      <c r="M15" s="122">
        <f>2.5/100</f>
        <v>2.5000000000000001E-2</v>
      </c>
      <c r="N15" s="123">
        <v>30000</v>
      </c>
      <c r="O15" s="123">
        <f>+N15/12</f>
        <v>2500</v>
      </c>
      <c r="P15" s="121"/>
      <c r="Q15" s="124">
        <f>+M15*N15</f>
        <v>750</v>
      </c>
      <c r="R15" s="121"/>
      <c r="S15" s="125">
        <f>+M15*O15</f>
        <v>62.5</v>
      </c>
    </row>
    <row r="16" spans="1:19" ht="17.25" customHeight="1">
      <c r="B16" s="81">
        <f>+B12+9000</f>
        <v>809000</v>
      </c>
      <c r="C16" s="98">
        <f>IF(B16&lt;=24000,0,IF(B16&lt;=39000,(B16*2.5%)-600,IF(B16&lt;=54000,(B16*10%)-3525,IF(B16&lt;=69000,(B16*15%)-6225,IF(B16&lt;=209000,(B16*20%)-9675,IF(B16&lt;=409000,(B16*22.5%)-14900,IF(B16&lt;=609000,(B16*25%)-25125,IF(B16&lt;=709000,(B16*25%)-24750,IF(B16&lt;=809000,(B16*25%)-22500,IF(B16&lt;=909000,(B16*25%)-20250,IF(B16&lt;=1009000,(B16*25%)-17250,IF(B16&gt;1009000,(B16*25%)-12250,"000"))))))))))))</f>
        <v>179750</v>
      </c>
      <c r="E16" s="37">
        <f>+C12-C16</f>
        <v>0</v>
      </c>
      <c r="F16" s="81"/>
      <c r="G16" s="230" t="s">
        <v>152</v>
      </c>
      <c r="H16" s="231"/>
      <c r="I16" s="231"/>
      <c r="J16" s="231"/>
      <c r="K16" s="231"/>
      <c r="M16" s="106">
        <v>0.1</v>
      </c>
      <c r="N16" s="93">
        <v>15000</v>
      </c>
      <c r="O16" s="93">
        <f t="shared" ref="O16:O20" si="2">+N16/12</f>
        <v>1250</v>
      </c>
      <c r="Q16" s="81">
        <f t="shared" ref="Q16:Q20" si="3">+M16*N16</f>
        <v>1500</v>
      </c>
      <c r="S16" s="127">
        <f t="shared" ref="S16:S20" si="4">+M16*O16</f>
        <v>125</v>
      </c>
    </row>
    <row r="17" spans="3:19" ht="16.5" thickBot="1">
      <c r="E17" s="160"/>
      <c r="F17" s="81"/>
      <c r="G17" s="126"/>
      <c r="H17" s="27" t="s">
        <v>150</v>
      </c>
      <c r="J17" s="27" t="s">
        <v>151</v>
      </c>
      <c r="M17" s="106">
        <v>0.15</v>
      </c>
      <c r="N17" s="93">
        <v>15000</v>
      </c>
      <c r="O17" s="93">
        <f t="shared" si="2"/>
        <v>1250</v>
      </c>
      <c r="Q17" s="81">
        <f t="shared" si="3"/>
        <v>2250</v>
      </c>
      <c r="S17" s="127">
        <f t="shared" si="4"/>
        <v>187.5</v>
      </c>
    </row>
    <row r="18" spans="3:19" ht="17.25" thickTop="1" thickBot="1">
      <c r="C18" s="81"/>
      <c r="E18" s="160"/>
      <c r="F18" s="81"/>
      <c r="G18" s="126"/>
      <c r="H18" s="108">
        <v>53000</v>
      </c>
      <c r="I18" s="107">
        <f>IF(H18&lt;=2000,"",IF(H18&lt;=3250,(H18*2.5%)-50,IF(H18&lt;=4500,(H18*10%)-293.75,IF(H18&lt;=5750,(H18*15%)-518.75,IF(H18&lt;=17416.6666666666,(H18*20%)-806.25,IF(H18&lt;=34083.3333333333,(H18*22.5%)-1241.66666666666,IF(H18&lt;=50750,(H18*25%)-2093.75,IF(H18&lt;=59083.3333333333,(H18*25%)-2062.5,IF(H18&lt;=67416.666667,(H18*25%)-1875,IF(H18&lt;=75750,(H18*25%)-1687.5,IF(H18&lt;=84083.3333333333,(H18*25%)-1437.5,IF(H18&gt;84083.3333333333,(H18*25%)-1020.8333333333,"000"))))))))))))</f>
        <v>11187.5</v>
      </c>
      <c r="J18" s="108">
        <f>+H18*12</f>
        <v>636000</v>
      </c>
      <c r="K18" s="107">
        <f>IF(J18&lt;=24000,"",IF(J18&lt;=39000,(J18*2.5%)-600,IF(J18&lt;=54000,(J18*10%)-3525,IF(J18&lt;=69000,(J18*15%)-6225,IF(J18&lt;=209000,(J18*20%)-9675,IF(J18&lt;=409000,(J18*22.5%)-14900,IF(J18&lt;=609000,(J18*25%)-25125,IF(J18&lt;=709000,(J18*25%)-24750,IF(J18&lt;=809000,(J18*25%)-22500,IF(J18&lt;=909000,(J18*25%)-20250,IF(J18&lt;=1009000,(J18*25%)-17250,IF(J18&gt;1009000,(J18*25%)-12250,"000"))))))))))))</f>
        <v>134250</v>
      </c>
      <c r="M18" s="106">
        <v>0.2</v>
      </c>
      <c r="N18" s="93">
        <v>140000</v>
      </c>
      <c r="O18" s="93">
        <f t="shared" si="2"/>
        <v>11666.666666666666</v>
      </c>
      <c r="Q18" s="81">
        <f t="shared" si="3"/>
        <v>28000</v>
      </c>
      <c r="S18" s="127">
        <f t="shared" si="4"/>
        <v>2333.3333333333335</v>
      </c>
    </row>
    <row r="19" spans="3:19" ht="16.5" thickTop="1">
      <c r="C19" s="81"/>
      <c r="E19" s="160"/>
      <c r="F19" s="81"/>
      <c r="G19" s="126"/>
      <c r="M19" s="106">
        <v>0.22500000000000001</v>
      </c>
      <c r="N19" s="93">
        <v>200000</v>
      </c>
      <c r="O19" s="93">
        <f t="shared" si="2"/>
        <v>16666.666666666668</v>
      </c>
      <c r="Q19" s="81">
        <f t="shared" si="3"/>
        <v>45000</v>
      </c>
      <c r="S19" s="127">
        <f t="shared" si="4"/>
        <v>3750.0000000000005</v>
      </c>
    </row>
    <row r="20" spans="3:19">
      <c r="C20" s="81"/>
      <c r="E20" s="160"/>
      <c r="F20" s="81"/>
      <c r="G20" s="126"/>
      <c r="M20" s="106">
        <v>0.25</v>
      </c>
      <c r="N20" s="93">
        <f>236000-9000</f>
        <v>227000</v>
      </c>
      <c r="O20" s="93">
        <f t="shared" si="2"/>
        <v>18916.666666666668</v>
      </c>
      <c r="Q20" s="81">
        <f t="shared" si="3"/>
        <v>56750</v>
      </c>
      <c r="S20" s="127">
        <f t="shared" si="4"/>
        <v>4729.166666666667</v>
      </c>
    </row>
    <row r="21" spans="3:19">
      <c r="C21" s="81"/>
      <c r="E21" s="81"/>
      <c r="F21" s="81"/>
      <c r="G21" s="126"/>
      <c r="H21" s="229" t="s">
        <v>153</v>
      </c>
      <c r="I21" s="229"/>
      <c r="J21" s="81">
        <f>+J18-N21</f>
        <v>9000</v>
      </c>
      <c r="M21" s="27" t="s">
        <v>155</v>
      </c>
      <c r="N21" s="119">
        <f t="shared" ref="N21:O21" si="5">SUM(N15:N20)</f>
        <v>627000</v>
      </c>
      <c r="O21" s="119">
        <f t="shared" si="5"/>
        <v>52250</v>
      </c>
      <c r="Q21" s="119">
        <f>SUM(Q15:Q20)</f>
        <v>134250</v>
      </c>
      <c r="S21" s="132">
        <f>SUM(S15:S20)</f>
        <v>11187.5</v>
      </c>
    </row>
    <row r="22" spans="3:19">
      <c r="C22" s="81"/>
      <c r="E22" s="81"/>
      <c r="F22" s="81"/>
      <c r="G22" s="126"/>
      <c r="H22" s="229" t="s">
        <v>154</v>
      </c>
      <c r="I22" s="229"/>
      <c r="J22" s="81">
        <f>+H18-O21</f>
        <v>750</v>
      </c>
      <c r="Q22" s="81">
        <f>+K18-Q21</f>
        <v>0</v>
      </c>
      <c r="S22" s="127">
        <f>+I18-S21</f>
        <v>0</v>
      </c>
    </row>
    <row r="23" spans="3:19" ht="16.5" thickBot="1">
      <c r="C23" s="81"/>
      <c r="E23" s="81"/>
      <c r="F23" s="81"/>
      <c r="G23" s="128"/>
      <c r="H23" s="129"/>
      <c r="I23" s="129"/>
      <c r="J23" s="129"/>
      <c r="K23" s="129"/>
      <c r="L23" s="129"/>
      <c r="M23" s="129"/>
      <c r="N23" s="129"/>
      <c r="O23" s="129"/>
      <c r="P23" s="129"/>
      <c r="Q23" s="129"/>
      <c r="R23" s="130" t="e">
        <f>+Q22/S22</f>
        <v>#DIV/0!</v>
      </c>
      <c r="S23" s="131"/>
    </row>
    <row r="24" spans="3:19" ht="16.5" thickTop="1">
      <c r="C24" s="81"/>
      <c r="E24" s="81"/>
      <c r="F24" s="81"/>
      <c r="R24" s="81"/>
    </row>
    <row r="25" spans="3:19">
      <c r="F25" s="81"/>
    </row>
    <row r="26" spans="3:19">
      <c r="F26" s="81"/>
    </row>
    <row r="27" spans="3:19" ht="16.5" thickBot="1"/>
    <row r="28" spans="3:19" ht="16.5" thickTop="1">
      <c r="G28" s="135"/>
      <c r="H28" s="109"/>
      <c r="I28" s="109"/>
      <c r="J28" s="109"/>
      <c r="K28" s="109"/>
      <c r="L28" s="109"/>
      <c r="M28" s="109"/>
      <c r="N28" s="109"/>
      <c r="O28" s="109"/>
      <c r="P28" s="109"/>
      <c r="Q28" s="109"/>
      <c r="R28" s="109"/>
      <c r="S28" s="110"/>
    </row>
    <row r="29" spans="3:19">
      <c r="G29" s="111"/>
      <c r="H29" s="231" t="s">
        <v>152</v>
      </c>
      <c r="I29" s="231"/>
      <c r="J29" s="231"/>
      <c r="K29" s="231"/>
      <c r="M29" s="106">
        <v>0.1</v>
      </c>
      <c r="N29" s="93">
        <v>45000</v>
      </c>
      <c r="O29" s="93">
        <f>+N29/12</f>
        <v>3750</v>
      </c>
      <c r="Q29" s="81">
        <f>+M29*N29</f>
        <v>4500</v>
      </c>
      <c r="S29" s="112">
        <f>+M29*O29</f>
        <v>375</v>
      </c>
    </row>
    <row r="30" spans="3:19" ht="16.5" thickBot="1">
      <c r="G30" s="111"/>
      <c r="H30" s="134" t="s">
        <v>150</v>
      </c>
      <c r="J30" s="27" t="s">
        <v>151</v>
      </c>
      <c r="M30" s="106">
        <v>0.15</v>
      </c>
      <c r="N30" s="93">
        <v>15000</v>
      </c>
      <c r="O30" s="93">
        <f t="shared" ref="O30:O33" si="6">+N30/12</f>
        <v>1250</v>
      </c>
      <c r="Q30" s="81">
        <f>+M30*N30</f>
        <v>2250</v>
      </c>
      <c r="S30" s="112">
        <f>+M30*O30</f>
        <v>187.5</v>
      </c>
    </row>
    <row r="31" spans="3:19" ht="17.25" thickTop="1" thickBot="1">
      <c r="G31" s="111"/>
      <c r="H31" s="113">
        <v>65000</v>
      </c>
      <c r="I31" s="107">
        <f>IF(H31&lt;=2000,"",IF(H31&lt;=3250,(H31*2.5%)-50,IF(H31&lt;=4500,(H31*10%)-293.75,IF(H31&lt;=5750,(H31*15%)-518.75,IF(H31&lt;=17416.6666666666,(H31*20%)-806.25,IF(H31&lt;=34083.3333333333,(H31*22.5%)-1241.66666666666,IF(H31&lt;=50750,(H31*25%)-2093.75,IF(H31&lt;=59083.3333333333,(H31*25%)-2062.5,IF(H31&lt;=67416.666667,(H31*25%)-1875,IF(H31&lt;=75750,(H31*25%)-1687.5,IF(H31&lt;=84083.3333333333,(H31*25%)-1437.5,IF(H31&gt;84083.3333333333,(H31*25%)-1020.8333333333,"000"))))))))))))</f>
        <v>14375</v>
      </c>
      <c r="J31" s="108">
        <f>+H31*12</f>
        <v>780000</v>
      </c>
      <c r="K31" s="107">
        <f>IF(J31&lt;=24000,"",IF(J31&lt;=39000,(J31*2.5%)-600,IF(J31&lt;=54000,(J31*10%)-3525,IF(J31&lt;=69000,(J31*15%)-6225,IF(J31&lt;=209000,(J31*20%)-9675,IF(J31&lt;=409000,(J31*22.5%)-14900,IF(J31&lt;=609000,(J31*25%)-25125,IF(J31&lt;=709000,(J31*25%)-24750,IF(J31&lt;=809000,(J31*25%)-22500,IF(J31&lt;=909000,(J31*25%)-20250,IF(J31&lt;=1009000,(J31*25%)-17250,IF(J31&gt;1009000,(J31*25%)-12250,"000"))))))))))))</f>
        <v>172500</v>
      </c>
      <c r="M31" s="106">
        <v>0.2</v>
      </c>
      <c r="N31" s="93">
        <v>140000</v>
      </c>
      <c r="O31" s="93">
        <f t="shared" si="6"/>
        <v>11666.666666666666</v>
      </c>
      <c r="Q31" s="81">
        <f>+M31*N31</f>
        <v>28000</v>
      </c>
      <c r="S31" s="112">
        <f>+M31*O31</f>
        <v>2333.3333333333335</v>
      </c>
    </row>
    <row r="32" spans="3:19" ht="16.5" thickTop="1">
      <c r="G32" s="111"/>
      <c r="M32" s="106">
        <v>0.22500000000000001</v>
      </c>
      <c r="N32" s="93">
        <v>200000</v>
      </c>
      <c r="O32" s="93">
        <f t="shared" si="6"/>
        <v>16666.666666666668</v>
      </c>
      <c r="Q32" s="81">
        <f>+M32*N32</f>
        <v>45000</v>
      </c>
      <c r="S32" s="112">
        <f>+M32*O32</f>
        <v>3750.0000000000005</v>
      </c>
    </row>
    <row r="33" spans="7:19">
      <c r="G33" s="111"/>
      <c r="M33" s="106">
        <v>0.25</v>
      </c>
      <c r="N33" s="93">
        <f>380000-9000</f>
        <v>371000</v>
      </c>
      <c r="O33" s="93">
        <f t="shared" si="6"/>
        <v>30916.666666666668</v>
      </c>
      <c r="Q33" s="81">
        <f>+M33*N33</f>
        <v>92750</v>
      </c>
      <c r="S33" s="112">
        <f>+M33*O33</f>
        <v>7729.166666666667</v>
      </c>
    </row>
    <row r="34" spans="7:19">
      <c r="G34" s="111"/>
      <c r="H34" s="229" t="s">
        <v>153</v>
      </c>
      <c r="I34" s="229"/>
      <c r="J34" s="81">
        <f>+J31-N34</f>
        <v>9000</v>
      </c>
      <c r="M34" s="114" t="s">
        <v>155</v>
      </c>
      <c r="N34" s="119">
        <f t="shared" ref="N34:O34" si="7">SUM(N29:N33)</f>
        <v>771000</v>
      </c>
      <c r="O34" s="119">
        <f t="shared" si="7"/>
        <v>64250</v>
      </c>
      <c r="Q34" s="119">
        <f>SUM(Q29:Q33)</f>
        <v>172500</v>
      </c>
      <c r="S34" s="120">
        <f>SUM(S29:S33)</f>
        <v>14375</v>
      </c>
    </row>
    <row r="35" spans="7:19">
      <c r="G35" s="111"/>
      <c r="H35" s="229" t="s">
        <v>154</v>
      </c>
      <c r="I35" s="229"/>
      <c r="J35" s="81">
        <f>+H31-O34</f>
        <v>750</v>
      </c>
      <c r="Q35" s="81">
        <f>+K31-Q34</f>
        <v>0</v>
      </c>
      <c r="S35" s="112">
        <f>+I31-S34</f>
        <v>0</v>
      </c>
    </row>
    <row r="36" spans="7:19" ht="16.5" thickBot="1">
      <c r="G36" s="115"/>
      <c r="H36" s="116"/>
      <c r="I36" s="116"/>
      <c r="J36" s="116"/>
      <c r="K36" s="116"/>
      <c r="L36" s="116"/>
      <c r="M36" s="116"/>
      <c r="N36" s="116"/>
      <c r="O36" s="116"/>
      <c r="P36" s="116"/>
      <c r="Q36" s="116"/>
      <c r="R36" s="117" t="e">
        <f>+Q35/S35</f>
        <v>#DIV/0!</v>
      </c>
      <c r="S36" s="118"/>
    </row>
    <row r="37" spans="7:19" ht="16.5" thickTop="1"/>
  </sheetData>
  <mergeCells count="10">
    <mergeCell ref="M2:Q3"/>
    <mergeCell ref="A3:C4"/>
    <mergeCell ref="M4:Q5"/>
    <mergeCell ref="G11:J13"/>
    <mergeCell ref="H35:I35"/>
    <mergeCell ref="G16:K16"/>
    <mergeCell ref="H29:K29"/>
    <mergeCell ref="H22:I22"/>
    <mergeCell ref="H21:I21"/>
    <mergeCell ref="H34:I3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22"/>
  <sheetViews>
    <sheetView rightToLeft="1" zoomScale="80" zoomScaleNormal="80" workbookViewId="0">
      <selection activeCell="J27" sqref="J27"/>
    </sheetView>
  </sheetViews>
  <sheetFormatPr defaultColWidth="9" defaultRowHeight="15.75"/>
  <cols>
    <col min="1" max="1" width="15.5703125" style="27" bestFit="1" customWidth="1"/>
    <col min="2" max="2" width="16" style="27" customWidth="1"/>
    <col min="3" max="3" width="15.7109375" style="27" bestFit="1" customWidth="1"/>
    <col min="4" max="5" width="10.140625" style="27" bestFit="1" customWidth="1"/>
    <col min="6" max="6" width="33.42578125" style="27" bestFit="1" customWidth="1"/>
    <col min="7" max="7" width="14" style="27" customWidth="1"/>
    <col min="8" max="8" width="4.85546875" style="27" bestFit="1" customWidth="1"/>
    <col min="9" max="9" width="14.28515625" style="27" bestFit="1" customWidth="1"/>
    <col min="10" max="10" width="13.5703125" style="27" bestFit="1" customWidth="1"/>
    <col min="11" max="11" width="9.5703125" style="27" bestFit="1" customWidth="1"/>
    <col min="12" max="12" width="12.42578125" style="27" bestFit="1" customWidth="1"/>
    <col min="13" max="13" width="12.42578125" style="51" bestFit="1" customWidth="1"/>
    <col min="14" max="14" width="6.85546875" style="51" customWidth="1"/>
    <col min="15" max="15" width="6.85546875" style="27" bestFit="1" customWidth="1"/>
    <col min="16" max="16" width="4.42578125" style="27" bestFit="1" customWidth="1"/>
    <col min="17" max="17" width="8.42578125" style="27" bestFit="1" customWidth="1"/>
    <col min="18" max="18" width="1.85546875" style="27" bestFit="1" customWidth="1"/>
    <col min="19" max="19" width="9.85546875" style="27" bestFit="1" customWidth="1"/>
    <col min="20" max="21" width="9" style="27"/>
    <col min="22" max="22" width="20.42578125" style="27" bestFit="1" customWidth="1"/>
    <col min="23" max="23" width="9.85546875" style="27" bestFit="1" customWidth="1"/>
    <col min="24" max="256" width="9" style="27"/>
    <col min="257" max="257" width="15.5703125" style="27" bestFit="1" customWidth="1"/>
    <col min="258" max="258" width="16" style="27" customWidth="1"/>
    <col min="259" max="259" width="15.7109375" style="27" bestFit="1" customWidth="1"/>
    <col min="260" max="261" width="10.140625" style="27" bestFit="1" customWidth="1"/>
    <col min="262" max="262" width="33.42578125" style="27" bestFit="1" customWidth="1"/>
    <col min="263" max="263" width="14" style="27" customWidth="1"/>
    <col min="264" max="264" width="4.85546875" style="27" bestFit="1" customWidth="1"/>
    <col min="265" max="265" width="14.28515625" style="27" bestFit="1" customWidth="1"/>
    <col min="266" max="266" width="13.5703125" style="27" bestFit="1" customWidth="1"/>
    <col min="267" max="267" width="9.5703125" style="27" bestFit="1" customWidth="1"/>
    <col min="268" max="268" width="5.85546875" style="27" bestFit="1" customWidth="1"/>
    <col min="269" max="270" width="11.5703125" style="27" bestFit="1" customWidth="1"/>
    <col min="271" max="271" width="6.85546875" style="27" bestFit="1" customWidth="1"/>
    <col min="272" max="272" width="4.42578125" style="27" bestFit="1" customWidth="1"/>
    <col min="273" max="273" width="8.42578125" style="27" bestFit="1" customWidth="1"/>
    <col min="274" max="274" width="1.85546875" style="27" bestFit="1" customWidth="1"/>
    <col min="275" max="275" width="9.85546875" style="27" bestFit="1" customWidth="1"/>
    <col min="276" max="277" width="9" style="27"/>
    <col min="278" max="278" width="20.42578125" style="27" bestFit="1" customWidth="1"/>
    <col min="279" max="279" width="9.85546875" style="27" bestFit="1" customWidth="1"/>
    <col min="280" max="512" width="9" style="27"/>
    <col min="513" max="513" width="15.5703125" style="27" bestFit="1" customWidth="1"/>
    <col min="514" max="514" width="16" style="27" customWidth="1"/>
    <col min="515" max="515" width="15.7109375" style="27" bestFit="1" customWidth="1"/>
    <col min="516" max="517" width="10.140625" style="27" bestFit="1" customWidth="1"/>
    <col min="518" max="518" width="33.42578125" style="27" bestFit="1" customWidth="1"/>
    <col min="519" max="519" width="14" style="27" customWidth="1"/>
    <col min="520" max="520" width="4.85546875" style="27" bestFit="1" customWidth="1"/>
    <col min="521" max="521" width="14.28515625" style="27" bestFit="1" customWidth="1"/>
    <col min="522" max="522" width="13.5703125" style="27" bestFit="1" customWidth="1"/>
    <col min="523" max="523" width="9.5703125" style="27" bestFit="1" customWidth="1"/>
    <col min="524" max="524" width="5.85546875" style="27" bestFit="1" customWidth="1"/>
    <col min="525" max="526" width="11.5703125" style="27" bestFit="1" customWidth="1"/>
    <col min="527" max="527" width="6.85546875" style="27" bestFit="1" customWidth="1"/>
    <col min="528" max="528" width="4.42578125" style="27" bestFit="1" customWidth="1"/>
    <col min="529" max="529" width="8.42578125" style="27" bestFit="1" customWidth="1"/>
    <col min="530" max="530" width="1.85546875" style="27" bestFit="1" customWidth="1"/>
    <col min="531" max="531" width="9.85546875" style="27" bestFit="1" customWidth="1"/>
    <col min="532" max="533" width="9" style="27"/>
    <col min="534" max="534" width="20.42578125" style="27" bestFit="1" customWidth="1"/>
    <col min="535" max="535" width="9.85546875" style="27" bestFit="1" customWidth="1"/>
    <col min="536" max="768" width="9" style="27"/>
    <col min="769" max="769" width="15.5703125" style="27" bestFit="1" customWidth="1"/>
    <col min="770" max="770" width="16" style="27" customWidth="1"/>
    <col min="771" max="771" width="15.7109375" style="27" bestFit="1" customWidth="1"/>
    <col min="772" max="773" width="10.140625" style="27" bestFit="1" customWidth="1"/>
    <col min="774" max="774" width="33.42578125" style="27" bestFit="1" customWidth="1"/>
    <col min="775" max="775" width="14" style="27" customWidth="1"/>
    <col min="776" max="776" width="4.85546875" style="27" bestFit="1" customWidth="1"/>
    <col min="777" max="777" width="14.28515625" style="27" bestFit="1" customWidth="1"/>
    <col min="778" max="778" width="13.5703125" style="27" bestFit="1" customWidth="1"/>
    <col min="779" max="779" width="9.5703125" style="27" bestFit="1" customWidth="1"/>
    <col min="780" max="780" width="5.85546875" style="27" bestFit="1" customWidth="1"/>
    <col min="781" max="782" width="11.5703125" style="27" bestFit="1" customWidth="1"/>
    <col min="783" max="783" width="6.85546875" style="27" bestFit="1" customWidth="1"/>
    <col min="784" max="784" width="4.42578125" style="27" bestFit="1" customWidth="1"/>
    <col min="785" max="785" width="8.42578125" style="27" bestFit="1" customWidth="1"/>
    <col min="786" max="786" width="1.85546875" style="27" bestFit="1" customWidth="1"/>
    <col min="787" max="787" width="9.85546875" style="27" bestFit="1" customWidth="1"/>
    <col min="788" max="789" width="9" style="27"/>
    <col min="790" max="790" width="20.42578125" style="27" bestFit="1" customWidth="1"/>
    <col min="791" max="791" width="9.85546875" style="27" bestFit="1" customWidth="1"/>
    <col min="792" max="1024" width="9" style="27"/>
    <col min="1025" max="1025" width="15.5703125" style="27" bestFit="1" customWidth="1"/>
    <col min="1026" max="1026" width="16" style="27" customWidth="1"/>
    <col min="1027" max="1027" width="15.7109375" style="27" bestFit="1" customWidth="1"/>
    <col min="1028" max="1029" width="10.140625" style="27" bestFit="1" customWidth="1"/>
    <col min="1030" max="1030" width="33.42578125" style="27" bestFit="1" customWidth="1"/>
    <col min="1031" max="1031" width="14" style="27" customWidth="1"/>
    <col min="1032" max="1032" width="4.85546875" style="27" bestFit="1" customWidth="1"/>
    <col min="1033" max="1033" width="14.28515625" style="27" bestFit="1" customWidth="1"/>
    <col min="1034" max="1034" width="13.5703125" style="27" bestFit="1" customWidth="1"/>
    <col min="1035" max="1035" width="9.5703125" style="27" bestFit="1" customWidth="1"/>
    <col min="1036" max="1036" width="5.85546875" style="27" bestFit="1" customWidth="1"/>
    <col min="1037" max="1038" width="11.5703125" style="27" bestFit="1" customWidth="1"/>
    <col min="1039" max="1039" width="6.85546875" style="27" bestFit="1" customWidth="1"/>
    <col min="1040" max="1040" width="4.42578125" style="27" bestFit="1" customWidth="1"/>
    <col min="1041" max="1041" width="8.42578125" style="27" bestFit="1" customWidth="1"/>
    <col min="1042" max="1042" width="1.85546875" style="27" bestFit="1" customWidth="1"/>
    <col min="1043" max="1043" width="9.85546875" style="27" bestFit="1" customWidth="1"/>
    <col min="1044" max="1045" width="9" style="27"/>
    <col min="1046" max="1046" width="20.42578125" style="27" bestFit="1" customWidth="1"/>
    <col min="1047" max="1047" width="9.85546875" style="27" bestFit="1" customWidth="1"/>
    <col min="1048" max="1280" width="9" style="27"/>
    <col min="1281" max="1281" width="15.5703125" style="27" bestFit="1" customWidth="1"/>
    <col min="1282" max="1282" width="16" style="27" customWidth="1"/>
    <col min="1283" max="1283" width="15.7109375" style="27" bestFit="1" customWidth="1"/>
    <col min="1284" max="1285" width="10.140625" style="27" bestFit="1" customWidth="1"/>
    <col min="1286" max="1286" width="33.42578125" style="27" bestFit="1" customWidth="1"/>
    <col min="1287" max="1287" width="14" style="27" customWidth="1"/>
    <col min="1288" max="1288" width="4.85546875" style="27" bestFit="1" customWidth="1"/>
    <col min="1289" max="1289" width="14.28515625" style="27" bestFit="1" customWidth="1"/>
    <col min="1290" max="1290" width="13.5703125" style="27" bestFit="1" customWidth="1"/>
    <col min="1291" max="1291" width="9.5703125" style="27" bestFit="1" customWidth="1"/>
    <col min="1292" max="1292" width="5.85546875" style="27" bestFit="1" customWidth="1"/>
    <col min="1293" max="1294" width="11.5703125" style="27" bestFit="1" customWidth="1"/>
    <col min="1295" max="1295" width="6.85546875" style="27" bestFit="1" customWidth="1"/>
    <col min="1296" max="1296" width="4.42578125" style="27" bestFit="1" customWidth="1"/>
    <col min="1297" max="1297" width="8.42578125" style="27" bestFit="1" customWidth="1"/>
    <col min="1298" max="1298" width="1.85546875" style="27" bestFit="1" customWidth="1"/>
    <col min="1299" max="1299" width="9.85546875" style="27" bestFit="1" customWidth="1"/>
    <col min="1300" max="1301" width="9" style="27"/>
    <col min="1302" max="1302" width="20.42578125" style="27" bestFit="1" customWidth="1"/>
    <col min="1303" max="1303" width="9.85546875" style="27" bestFit="1" customWidth="1"/>
    <col min="1304" max="1536" width="9" style="27"/>
    <col min="1537" max="1537" width="15.5703125" style="27" bestFit="1" customWidth="1"/>
    <col min="1538" max="1538" width="16" style="27" customWidth="1"/>
    <col min="1539" max="1539" width="15.7109375" style="27" bestFit="1" customWidth="1"/>
    <col min="1540" max="1541" width="10.140625" style="27" bestFit="1" customWidth="1"/>
    <col min="1542" max="1542" width="33.42578125" style="27" bestFit="1" customWidth="1"/>
    <col min="1543" max="1543" width="14" style="27" customWidth="1"/>
    <col min="1544" max="1544" width="4.85546875" style="27" bestFit="1" customWidth="1"/>
    <col min="1545" max="1545" width="14.28515625" style="27" bestFit="1" customWidth="1"/>
    <col min="1546" max="1546" width="13.5703125" style="27" bestFit="1" customWidth="1"/>
    <col min="1547" max="1547" width="9.5703125" style="27" bestFit="1" customWidth="1"/>
    <col min="1548" max="1548" width="5.85546875" style="27" bestFit="1" customWidth="1"/>
    <col min="1549" max="1550" width="11.5703125" style="27" bestFit="1" customWidth="1"/>
    <col min="1551" max="1551" width="6.85546875" style="27" bestFit="1" customWidth="1"/>
    <col min="1552" max="1552" width="4.42578125" style="27" bestFit="1" customWidth="1"/>
    <col min="1553" max="1553" width="8.42578125" style="27" bestFit="1" customWidth="1"/>
    <col min="1554" max="1554" width="1.85546875" style="27" bestFit="1" customWidth="1"/>
    <col min="1555" max="1555" width="9.85546875" style="27" bestFit="1" customWidth="1"/>
    <col min="1556" max="1557" width="9" style="27"/>
    <col min="1558" max="1558" width="20.42578125" style="27" bestFit="1" customWidth="1"/>
    <col min="1559" max="1559" width="9.85546875" style="27" bestFit="1" customWidth="1"/>
    <col min="1560" max="1792" width="9" style="27"/>
    <col min="1793" max="1793" width="15.5703125" style="27" bestFit="1" customWidth="1"/>
    <col min="1794" max="1794" width="16" style="27" customWidth="1"/>
    <col min="1795" max="1795" width="15.7109375" style="27" bestFit="1" customWidth="1"/>
    <col min="1796" max="1797" width="10.140625" style="27" bestFit="1" customWidth="1"/>
    <col min="1798" max="1798" width="33.42578125" style="27" bestFit="1" customWidth="1"/>
    <col min="1799" max="1799" width="14" style="27" customWidth="1"/>
    <col min="1800" max="1800" width="4.85546875" style="27" bestFit="1" customWidth="1"/>
    <col min="1801" max="1801" width="14.28515625" style="27" bestFit="1" customWidth="1"/>
    <col min="1802" max="1802" width="13.5703125" style="27" bestFit="1" customWidth="1"/>
    <col min="1803" max="1803" width="9.5703125" style="27" bestFit="1" customWidth="1"/>
    <col min="1804" max="1804" width="5.85546875" style="27" bestFit="1" customWidth="1"/>
    <col min="1805" max="1806" width="11.5703125" style="27" bestFit="1" customWidth="1"/>
    <col min="1807" max="1807" width="6.85546875" style="27" bestFit="1" customWidth="1"/>
    <col min="1808" max="1808" width="4.42578125" style="27" bestFit="1" customWidth="1"/>
    <col min="1809" max="1809" width="8.42578125" style="27" bestFit="1" customWidth="1"/>
    <col min="1810" max="1810" width="1.85546875" style="27" bestFit="1" customWidth="1"/>
    <col min="1811" max="1811" width="9.85546875" style="27" bestFit="1" customWidth="1"/>
    <col min="1812" max="1813" width="9" style="27"/>
    <col min="1814" max="1814" width="20.42578125" style="27" bestFit="1" customWidth="1"/>
    <col min="1815" max="1815" width="9.85546875" style="27" bestFit="1" customWidth="1"/>
    <col min="1816" max="2048" width="9" style="27"/>
    <col min="2049" max="2049" width="15.5703125" style="27" bestFit="1" customWidth="1"/>
    <col min="2050" max="2050" width="16" style="27" customWidth="1"/>
    <col min="2051" max="2051" width="15.7109375" style="27" bestFit="1" customWidth="1"/>
    <col min="2052" max="2053" width="10.140625" style="27" bestFit="1" customWidth="1"/>
    <col min="2054" max="2054" width="33.42578125" style="27" bestFit="1" customWidth="1"/>
    <col min="2055" max="2055" width="14" style="27" customWidth="1"/>
    <col min="2056" max="2056" width="4.85546875" style="27" bestFit="1" customWidth="1"/>
    <col min="2057" max="2057" width="14.28515625" style="27" bestFit="1" customWidth="1"/>
    <col min="2058" max="2058" width="13.5703125" style="27" bestFit="1" customWidth="1"/>
    <col min="2059" max="2059" width="9.5703125" style="27" bestFit="1" customWidth="1"/>
    <col min="2060" max="2060" width="5.85546875" style="27" bestFit="1" customWidth="1"/>
    <col min="2061" max="2062" width="11.5703125" style="27" bestFit="1" customWidth="1"/>
    <col min="2063" max="2063" width="6.85546875" style="27" bestFit="1" customWidth="1"/>
    <col min="2064" max="2064" width="4.42578125" style="27" bestFit="1" customWidth="1"/>
    <col min="2065" max="2065" width="8.42578125" style="27" bestFit="1" customWidth="1"/>
    <col min="2066" max="2066" width="1.85546875" style="27" bestFit="1" customWidth="1"/>
    <col min="2067" max="2067" width="9.85546875" style="27" bestFit="1" customWidth="1"/>
    <col min="2068" max="2069" width="9" style="27"/>
    <col min="2070" max="2070" width="20.42578125" style="27" bestFit="1" customWidth="1"/>
    <col min="2071" max="2071" width="9.85546875" style="27" bestFit="1" customWidth="1"/>
    <col min="2072" max="2304" width="9" style="27"/>
    <col min="2305" max="2305" width="15.5703125" style="27" bestFit="1" customWidth="1"/>
    <col min="2306" max="2306" width="16" style="27" customWidth="1"/>
    <col min="2307" max="2307" width="15.7109375" style="27" bestFit="1" customWidth="1"/>
    <col min="2308" max="2309" width="10.140625" style="27" bestFit="1" customWidth="1"/>
    <col min="2310" max="2310" width="33.42578125" style="27" bestFit="1" customWidth="1"/>
    <col min="2311" max="2311" width="14" style="27" customWidth="1"/>
    <col min="2312" max="2312" width="4.85546875" style="27" bestFit="1" customWidth="1"/>
    <col min="2313" max="2313" width="14.28515625" style="27" bestFit="1" customWidth="1"/>
    <col min="2314" max="2314" width="13.5703125" style="27" bestFit="1" customWidth="1"/>
    <col min="2315" max="2315" width="9.5703125" style="27" bestFit="1" customWidth="1"/>
    <col min="2316" max="2316" width="5.85546875" style="27" bestFit="1" customWidth="1"/>
    <col min="2317" max="2318" width="11.5703125" style="27" bestFit="1" customWidth="1"/>
    <col min="2319" max="2319" width="6.85546875" style="27" bestFit="1" customWidth="1"/>
    <col min="2320" max="2320" width="4.42578125" style="27" bestFit="1" customWidth="1"/>
    <col min="2321" max="2321" width="8.42578125" style="27" bestFit="1" customWidth="1"/>
    <col min="2322" max="2322" width="1.85546875" style="27" bestFit="1" customWidth="1"/>
    <col min="2323" max="2323" width="9.85546875" style="27" bestFit="1" customWidth="1"/>
    <col min="2324" max="2325" width="9" style="27"/>
    <col min="2326" max="2326" width="20.42578125" style="27" bestFit="1" customWidth="1"/>
    <col min="2327" max="2327" width="9.85546875" style="27" bestFit="1" customWidth="1"/>
    <col min="2328" max="2560" width="9" style="27"/>
    <col min="2561" max="2561" width="15.5703125" style="27" bestFit="1" customWidth="1"/>
    <col min="2562" max="2562" width="16" style="27" customWidth="1"/>
    <col min="2563" max="2563" width="15.7109375" style="27" bestFit="1" customWidth="1"/>
    <col min="2564" max="2565" width="10.140625" style="27" bestFit="1" customWidth="1"/>
    <col min="2566" max="2566" width="33.42578125" style="27" bestFit="1" customWidth="1"/>
    <col min="2567" max="2567" width="14" style="27" customWidth="1"/>
    <col min="2568" max="2568" width="4.85546875" style="27" bestFit="1" customWidth="1"/>
    <col min="2569" max="2569" width="14.28515625" style="27" bestFit="1" customWidth="1"/>
    <col min="2570" max="2570" width="13.5703125" style="27" bestFit="1" customWidth="1"/>
    <col min="2571" max="2571" width="9.5703125" style="27" bestFit="1" customWidth="1"/>
    <col min="2572" max="2572" width="5.85546875" style="27" bestFit="1" customWidth="1"/>
    <col min="2573" max="2574" width="11.5703125" style="27" bestFit="1" customWidth="1"/>
    <col min="2575" max="2575" width="6.85546875" style="27" bestFit="1" customWidth="1"/>
    <col min="2576" max="2576" width="4.42578125" style="27" bestFit="1" customWidth="1"/>
    <col min="2577" max="2577" width="8.42578125" style="27" bestFit="1" customWidth="1"/>
    <col min="2578" max="2578" width="1.85546875" style="27" bestFit="1" customWidth="1"/>
    <col min="2579" max="2579" width="9.85546875" style="27" bestFit="1" customWidth="1"/>
    <col min="2580" max="2581" width="9" style="27"/>
    <col min="2582" max="2582" width="20.42578125" style="27" bestFit="1" customWidth="1"/>
    <col min="2583" max="2583" width="9.85546875" style="27" bestFit="1" customWidth="1"/>
    <col min="2584" max="2816" width="9" style="27"/>
    <col min="2817" max="2817" width="15.5703125" style="27" bestFit="1" customWidth="1"/>
    <col min="2818" max="2818" width="16" style="27" customWidth="1"/>
    <col min="2819" max="2819" width="15.7109375" style="27" bestFit="1" customWidth="1"/>
    <col min="2820" max="2821" width="10.140625" style="27" bestFit="1" customWidth="1"/>
    <col min="2822" max="2822" width="33.42578125" style="27" bestFit="1" customWidth="1"/>
    <col min="2823" max="2823" width="14" style="27" customWidth="1"/>
    <col min="2824" max="2824" width="4.85546875" style="27" bestFit="1" customWidth="1"/>
    <col min="2825" max="2825" width="14.28515625" style="27" bestFit="1" customWidth="1"/>
    <col min="2826" max="2826" width="13.5703125" style="27" bestFit="1" customWidth="1"/>
    <col min="2827" max="2827" width="9.5703125" style="27" bestFit="1" customWidth="1"/>
    <col min="2828" max="2828" width="5.85546875" style="27" bestFit="1" customWidth="1"/>
    <col min="2829" max="2830" width="11.5703125" style="27" bestFit="1" customWidth="1"/>
    <col min="2831" max="2831" width="6.85546875" style="27" bestFit="1" customWidth="1"/>
    <col min="2832" max="2832" width="4.42578125" style="27" bestFit="1" customWidth="1"/>
    <col min="2833" max="2833" width="8.42578125" style="27" bestFit="1" customWidth="1"/>
    <col min="2834" max="2834" width="1.85546875" style="27" bestFit="1" customWidth="1"/>
    <col min="2835" max="2835" width="9.85546875" style="27" bestFit="1" customWidth="1"/>
    <col min="2836" max="2837" width="9" style="27"/>
    <col min="2838" max="2838" width="20.42578125" style="27" bestFit="1" customWidth="1"/>
    <col min="2839" max="2839" width="9.85546875" style="27" bestFit="1" customWidth="1"/>
    <col min="2840" max="3072" width="9" style="27"/>
    <col min="3073" max="3073" width="15.5703125" style="27" bestFit="1" customWidth="1"/>
    <col min="3074" max="3074" width="16" style="27" customWidth="1"/>
    <col min="3075" max="3075" width="15.7109375" style="27" bestFit="1" customWidth="1"/>
    <col min="3076" max="3077" width="10.140625" style="27" bestFit="1" customWidth="1"/>
    <col min="3078" max="3078" width="33.42578125" style="27" bestFit="1" customWidth="1"/>
    <col min="3079" max="3079" width="14" style="27" customWidth="1"/>
    <col min="3080" max="3080" width="4.85546875" style="27" bestFit="1" customWidth="1"/>
    <col min="3081" max="3081" width="14.28515625" style="27" bestFit="1" customWidth="1"/>
    <col min="3082" max="3082" width="13.5703125" style="27" bestFit="1" customWidth="1"/>
    <col min="3083" max="3083" width="9.5703125" style="27" bestFit="1" customWidth="1"/>
    <col min="3084" max="3084" width="5.85546875" style="27" bestFit="1" customWidth="1"/>
    <col min="3085" max="3086" width="11.5703125" style="27" bestFit="1" customWidth="1"/>
    <col min="3087" max="3087" width="6.85546875" style="27" bestFit="1" customWidth="1"/>
    <col min="3088" max="3088" width="4.42578125" style="27" bestFit="1" customWidth="1"/>
    <col min="3089" max="3089" width="8.42578125" style="27" bestFit="1" customWidth="1"/>
    <col min="3090" max="3090" width="1.85546875" style="27" bestFit="1" customWidth="1"/>
    <col min="3091" max="3091" width="9.85546875" style="27" bestFit="1" customWidth="1"/>
    <col min="3092" max="3093" width="9" style="27"/>
    <col min="3094" max="3094" width="20.42578125" style="27" bestFit="1" customWidth="1"/>
    <col min="3095" max="3095" width="9.85546875" style="27" bestFit="1" customWidth="1"/>
    <col min="3096" max="3328" width="9" style="27"/>
    <col min="3329" max="3329" width="15.5703125" style="27" bestFit="1" customWidth="1"/>
    <col min="3330" max="3330" width="16" style="27" customWidth="1"/>
    <col min="3331" max="3331" width="15.7109375" style="27" bestFit="1" customWidth="1"/>
    <col min="3332" max="3333" width="10.140625" style="27" bestFit="1" customWidth="1"/>
    <col min="3334" max="3334" width="33.42578125" style="27" bestFit="1" customWidth="1"/>
    <col min="3335" max="3335" width="14" style="27" customWidth="1"/>
    <col min="3336" max="3336" width="4.85546875" style="27" bestFit="1" customWidth="1"/>
    <col min="3337" max="3337" width="14.28515625" style="27" bestFit="1" customWidth="1"/>
    <col min="3338" max="3338" width="13.5703125" style="27" bestFit="1" customWidth="1"/>
    <col min="3339" max="3339" width="9.5703125" style="27" bestFit="1" customWidth="1"/>
    <col min="3340" max="3340" width="5.85546875" style="27" bestFit="1" customWidth="1"/>
    <col min="3341" max="3342" width="11.5703125" style="27" bestFit="1" customWidth="1"/>
    <col min="3343" max="3343" width="6.85546875" style="27" bestFit="1" customWidth="1"/>
    <col min="3344" max="3344" width="4.42578125" style="27" bestFit="1" customWidth="1"/>
    <col min="3345" max="3345" width="8.42578125" style="27" bestFit="1" customWidth="1"/>
    <col min="3346" max="3346" width="1.85546875" style="27" bestFit="1" customWidth="1"/>
    <col min="3347" max="3347" width="9.85546875" style="27" bestFit="1" customWidth="1"/>
    <col min="3348" max="3349" width="9" style="27"/>
    <col min="3350" max="3350" width="20.42578125" style="27" bestFit="1" customWidth="1"/>
    <col min="3351" max="3351" width="9.85546875" style="27" bestFit="1" customWidth="1"/>
    <col min="3352" max="3584" width="9" style="27"/>
    <col min="3585" max="3585" width="15.5703125" style="27" bestFit="1" customWidth="1"/>
    <col min="3586" max="3586" width="16" style="27" customWidth="1"/>
    <col min="3587" max="3587" width="15.7109375" style="27" bestFit="1" customWidth="1"/>
    <col min="3588" max="3589" width="10.140625" style="27" bestFit="1" customWidth="1"/>
    <col min="3590" max="3590" width="33.42578125" style="27" bestFit="1" customWidth="1"/>
    <col min="3591" max="3591" width="14" style="27" customWidth="1"/>
    <col min="3592" max="3592" width="4.85546875" style="27" bestFit="1" customWidth="1"/>
    <col min="3593" max="3593" width="14.28515625" style="27" bestFit="1" customWidth="1"/>
    <col min="3594" max="3594" width="13.5703125" style="27" bestFit="1" customWidth="1"/>
    <col min="3595" max="3595" width="9.5703125" style="27" bestFit="1" customWidth="1"/>
    <col min="3596" max="3596" width="5.85546875" style="27" bestFit="1" customWidth="1"/>
    <col min="3597" max="3598" width="11.5703125" style="27" bestFit="1" customWidth="1"/>
    <col min="3599" max="3599" width="6.85546875" style="27" bestFit="1" customWidth="1"/>
    <col min="3600" max="3600" width="4.42578125" style="27" bestFit="1" customWidth="1"/>
    <col min="3601" max="3601" width="8.42578125" style="27" bestFit="1" customWidth="1"/>
    <col min="3602" max="3602" width="1.85546875" style="27" bestFit="1" customWidth="1"/>
    <col min="3603" max="3603" width="9.85546875" style="27" bestFit="1" customWidth="1"/>
    <col min="3604" max="3605" width="9" style="27"/>
    <col min="3606" max="3606" width="20.42578125" style="27" bestFit="1" customWidth="1"/>
    <col min="3607" max="3607" width="9.85546875" style="27" bestFit="1" customWidth="1"/>
    <col min="3608" max="3840" width="9" style="27"/>
    <col min="3841" max="3841" width="15.5703125" style="27" bestFit="1" customWidth="1"/>
    <col min="3842" max="3842" width="16" style="27" customWidth="1"/>
    <col min="3843" max="3843" width="15.7109375" style="27" bestFit="1" customWidth="1"/>
    <col min="3844" max="3845" width="10.140625" style="27" bestFit="1" customWidth="1"/>
    <col min="3846" max="3846" width="33.42578125" style="27" bestFit="1" customWidth="1"/>
    <col min="3847" max="3847" width="14" style="27" customWidth="1"/>
    <col min="3848" max="3848" width="4.85546875" style="27" bestFit="1" customWidth="1"/>
    <col min="3849" max="3849" width="14.28515625" style="27" bestFit="1" customWidth="1"/>
    <col min="3850" max="3850" width="13.5703125" style="27" bestFit="1" customWidth="1"/>
    <col min="3851" max="3851" width="9.5703125" style="27" bestFit="1" customWidth="1"/>
    <col min="3852" max="3852" width="5.85546875" style="27" bestFit="1" customWidth="1"/>
    <col min="3853" max="3854" width="11.5703125" style="27" bestFit="1" customWidth="1"/>
    <col min="3855" max="3855" width="6.85546875" style="27" bestFit="1" customWidth="1"/>
    <col min="3856" max="3856" width="4.42578125" style="27" bestFit="1" customWidth="1"/>
    <col min="3857" max="3857" width="8.42578125" style="27" bestFit="1" customWidth="1"/>
    <col min="3858" max="3858" width="1.85546875" style="27" bestFit="1" customWidth="1"/>
    <col min="3859" max="3859" width="9.85546875" style="27" bestFit="1" customWidth="1"/>
    <col min="3860" max="3861" width="9" style="27"/>
    <col min="3862" max="3862" width="20.42578125" style="27" bestFit="1" customWidth="1"/>
    <col min="3863" max="3863" width="9.85546875" style="27" bestFit="1" customWidth="1"/>
    <col min="3864" max="4096" width="9" style="27"/>
    <col min="4097" max="4097" width="15.5703125" style="27" bestFit="1" customWidth="1"/>
    <col min="4098" max="4098" width="16" style="27" customWidth="1"/>
    <col min="4099" max="4099" width="15.7109375" style="27" bestFit="1" customWidth="1"/>
    <col min="4100" max="4101" width="10.140625" style="27" bestFit="1" customWidth="1"/>
    <col min="4102" max="4102" width="33.42578125" style="27" bestFit="1" customWidth="1"/>
    <col min="4103" max="4103" width="14" style="27" customWidth="1"/>
    <col min="4104" max="4104" width="4.85546875" style="27" bestFit="1" customWidth="1"/>
    <col min="4105" max="4105" width="14.28515625" style="27" bestFit="1" customWidth="1"/>
    <col min="4106" max="4106" width="13.5703125" style="27" bestFit="1" customWidth="1"/>
    <col min="4107" max="4107" width="9.5703125" style="27" bestFit="1" customWidth="1"/>
    <col min="4108" max="4108" width="5.85546875" style="27" bestFit="1" customWidth="1"/>
    <col min="4109" max="4110" width="11.5703125" style="27" bestFit="1" customWidth="1"/>
    <col min="4111" max="4111" width="6.85546875" style="27" bestFit="1" customWidth="1"/>
    <col min="4112" max="4112" width="4.42578125" style="27" bestFit="1" customWidth="1"/>
    <col min="4113" max="4113" width="8.42578125" style="27" bestFit="1" customWidth="1"/>
    <col min="4114" max="4114" width="1.85546875" style="27" bestFit="1" customWidth="1"/>
    <col min="4115" max="4115" width="9.85546875" style="27" bestFit="1" customWidth="1"/>
    <col min="4116" max="4117" width="9" style="27"/>
    <col min="4118" max="4118" width="20.42578125" style="27" bestFit="1" customWidth="1"/>
    <col min="4119" max="4119" width="9.85546875" style="27" bestFit="1" customWidth="1"/>
    <col min="4120" max="4352" width="9" style="27"/>
    <col min="4353" max="4353" width="15.5703125" style="27" bestFit="1" customWidth="1"/>
    <col min="4354" max="4354" width="16" style="27" customWidth="1"/>
    <col min="4355" max="4355" width="15.7109375" style="27" bestFit="1" customWidth="1"/>
    <col min="4356" max="4357" width="10.140625" style="27" bestFit="1" customWidth="1"/>
    <col min="4358" max="4358" width="33.42578125" style="27" bestFit="1" customWidth="1"/>
    <col min="4359" max="4359" width="14" style="27" customWidth="1"/>
    <col min="4360" max="4360" width="4.85546875" style="27" bestFit="1" customWidth="1"/>
    <col min="4361" max="4361" width="14.28515625" style="27" bestFit="1" customWidth="1"/>
    <col min="4362" max="4362" width="13.5703125" style="27" bestFit="1" customWidth="1"/>
    <col min="4363" max="4363" width="9.5703125" style="27" bestFit="1" customWidth="1"/>
    <col min="4364" max="4364" width="5.85546875" style="27" bestFit="1" customWidth="1"/>
    <col min="4365" max="4366" width="11.5703125" style="27" bestFit="1" customWidth="1"/>
    <col min="4367" max="4367" width="6.85546875" style="27" bestFit="1" customWidth="1"/>
    <col min="4368" max="4368" width="4.42578125" style="27" bestFit="1" customWidth="1"/>
    <col min="4369" max="4369" width="8.42578125" style="27" bestFit="1" customWidth="1"/>
    <col min="4370" max="4370" width="1.85546875" style="27" bestFit="1" customWidth="1"/>
    <col min="4371" max="4371" width="9.85546875" style="27" bestFit="1" customWidth="1"/>
    <col min="4372" max="4373" width="9" style="27"/>
    <col min="4374" max="4374" width="20.42578125" style="27" bestFit="1" customWidth="1"/>
    <col min="4375" max="4375" width="9.85546875" style="27" bestFit="1" customWidth="1"/>
    <col min="4376" max="4608" width="9" style="27"/>
    <col min="4609" max="4609" width="15.5703125" style="27" bestFit="1" customWidth="1"/>
    <col min="4610" max="4610" width="16" style="27" customWidth="1"/>
    <col min="4611" max="4611" width="15.7109375" style="27" bestFit="1" customWidth="1"/>
    <col min="4612" max="4613" width="10.140625" style="27" bestFit="1" customWidth="1"/>
    <col min="4614" max="4614" width="33.42578125" style="27" bestFit="1" customWidth="1"/>
    <col min="4615" max="4615" width="14" style="27" customWidth="1"/>
    <col min="4616" max="4616" width="4.85546875" style="27" bestFit="1" customWidth="1"/>
    <col min="4617" max="4617" width="14.28515625" style="27" bestFit="1" customWidth="1"/>
    <col min="4618" max="4618" width="13.5703125" style="27" bestFit="1" customWidth="1"/>
    <col min="4619" max="4619" width="9.5703125" style="27" bestFit="1" customWidth="1"/>
    <col min="4620" max="4620" width="5.85546875" style="27" bestFit="1" customWidth="1"/>
    <col min="4621" max="4622" width="11.5703125" style="27" bestFit="1" customWidth="1"/>
    <col min="4623" max="4623" width="6.85546875" style="27" bestFit="1" customWidth="1"/>
    <col min="4624" max="4624" width="4.42578125" style="27" bestFit="1" customWidth="1"/>
    <col min="4625" max="4625" width="8.42578125" style="27" bestFit="1" customWidth="1"/>
    <col min="4626" max="4626" width="1.85546875" style="27" bestFit="1" customWidth="1"/>
    <col min="4627" max="4627" width="9.85546875" style="27" bestFit="1" customWidth="1"/>
    <col min="4628" max="4629" width="9" style="27"/>
    <col min="4630" max="4630" width="20.42578125" style="27" bestFit="1" customWidth="1"/>
    <col min="4631" max="4631" width="9.85546875" style="27" bestFit="1" customWidth="1"/>
    <col min="4632" max="4864" width="9" style="27"/>
    <col min="4865" max="4865" width="15.5703125" style="27" bestFit="1" customWidth="1"/>
    <col min="4866" max="4866" width="16" style="27" customWidth="1"/>
    <col min="4867" max="4867" width="15.7109375" style="27" bestFit="1" customWidth="1"/>
    <col min="4868" max="4869" width="10.140625" style="27" bestFit="1" customWidth="1"/>
    <col min="4870" max="4870" width="33.42578125" style="27" bestFit="1" customWidth="1"/>
    <col min="4871" max="4871" width="14" style="27" customWidth="1"/>
    <col min="4872" max="4872" width="4.85546875" style="27" bestFit="1" customWidth="1"/>
    <col min="4873" max="4873" width="14.28515625" style="27" bestFit="1" customWidth="1"/>
    <col min="4874" max="4874" width="13.5703125" style="27" bestFit="1" customWidth="1"/>
    <col min="4875" max="4875" width="9.5703125" style="27" bestFit="1" customWidth="1"/>
    <col min="4876" max="4876" width="5.85546875" style="27" bestFit="1" customWidth="1"/>
    <col min="4877" max="4878" width="11.5703125" style="27" bestFit="1" customWidth="1"/>
    <col min="4879" max="4879" width="6.85546875" style="27" bestFit="1" customWidth="1"/>
    <col min="4880" max="4880" width="4.42578125" style="27" bestFit="1" customWidth="1"/>
    <col min="4881" max="4881" width="8.42578125" style="27" bestFit="1" customWidth="1"/>
    <col min="4882" max="4882" width="1.85546875" style="27" bestFit="1" customWidth="1"/>
    <col min="4883" max="4883" width="9.85546875" style="27" bestFit="1" customWidth="1"/>
    <col min="4884" max="4885" width="9" style="27"/>
    <col min="4886" max="4886" width="20.42578125" style="27" bestFit="1" customWidth="1"/>
    <col min="4887" max="4887" width="9.85546875" style="27" bestFit="1" customWidth="1"/>
    <col min="4888" max="5120" width="9" style="27"/>
    <col min="5121" max="5121" width="15.5703125" style="27" bestFit="1" customWidth="1"/>
    <col min="5122" max="5122" width="16" style="27" customWidth="1"/>
    <col min="5123" max="5123" width="15.7109375" style="27" bestFit="1" customWidth="1"/>
    <col min="5124" max="5125" width="10.140625" style="27" bestFit="1" customWidth="1"/>
    <col min="5126" max="5126" width="33.42578125" style="27" bestFit="1" customWidth="1"/>
    <col min="5127" max="5127" width="14" style="27" customWidth="1"/>
    <col min="5128" max="5128" width="4.85546875" style="27" bestFit="1" customWidth="1"/>
    <col min="5129" max="5129" width="14.28515625" style="27" bestFit="1" customWidth="1"/>
    <col min="5130" max="5130" width="13.5703125" style="27" bestFit="1" customWidth="1"/>
    <col min="5131" max="5131" width="9.5703125" style="27" bestFit="1" customWidth="1"/>
    <col min="5132" max="5132" width="5.85546875" style="27" bestFit="1" customWidth="1"/>
    <col min="5133" max="5134" width="11.5703125" style="27" bestFit="1" customWidth="1"/>
    <col min="5135" max="5135" width="6.85546875" style="27" bestFit="1" customWidth="1"/>
    <col min="5136" max="5136" width="4.42578125" style="27" bestFit="1" customWidth="1"/>
    <col min="5137" max="5137" width="8.42578125" style="27" bestFit="1" customWidth="1"/>
    <col min="5138" max="5138" width="1.85546875" style="27" bestFit="1" customWidth="1"/>
    <col min="5139" max="5139" width="9.85546875" style="27" bestFit="1" customWidth="1"/>
    <col min="5140" max="5141" width="9" style="27"/>
    <col min="5142" max="5142" width="20.42578125" style="27" bestFit="1" customWidth="1"/>
    <col min="5143" max="5143" width="9.85546875" style="27" bestFit="1" customWidth="1"/>
    <col min="5144" max="5376" width="9" style="27"/>
    <col min="5377" max="5377" width="15.5703125" style="27" bestFit="1" customWidth="1"/>
    <col min="5378" max="5378" width="16" style="27" customWidth="1"/>
    <col min="5379" max="5379" width="15.7109375" style="27" bestFit="1" customWidth="1"/>
    <col min="5380" max="5381" width="10.140625" style="27" bestFit="1" customWidth="1"/>
    <col min="5382" max="5382" width="33.42578125" style="27" bestFit="1" customWidth="1"/>
    <col min="5383" max="5383" width="14" style="27" customWidth="1"/>
    <col min="5384" max="5384" width="4.85546875" style="27" bestFit="1" customWidth="1"/>
    <col min="5385" max="5385" width="14.28515625" style="27" bestFit="1" customWidth="1"/>
    <col min="5386" max="5386" width="13.5703125" style="27" bestFit="1" customWidth="1"/>
    <col min="5387" max="5387" width="9.5703125" style="27" bestFit="1" customWidth="1"/>
    <col min="5388" max="5388" width="5.85546875" style="27" bestFit="1" customWidth="1"/>
    <col min="5389" max="5390" width="11.5703125" style="27" bestFit="1" customWidth="1"/>
    <col min="5391" max="5391" width="6.85546875" style="27" bestFit="1" customWidth="1"/>
    <col min="5392" max="5392" width="4.42578125" style="27" bestFit="1" customWidth="1"/>
    <col min="5393" max="5393" width="8.42578125" style="27" bestFit="1" customWidth="1"/>
    <col min="5394" max="5394" width="1.85546875" style="27" bestFit="1" customWidth="1"/>
    <col min="5395" max="5395" width="9.85546875" style="27" bestFit="1" customWidth="1"/>
    <col min="5396" max="5397" width="9" style="27"/>
    <col min="5398" max="5398" width="20.42578125" style="27" bestFit="1" customWidth="1"/>
    <col min="5399" max="5399" width="9.85546875" style="27" bestFit="1" customWidth="1"/>
    <col min="5400" max="5632" width="9" style="27"/>
    <col min="5633" max="5633" width="15.5703125" style="27" bestFit="1" customWidth="1"/>
    <col min="5634" max="5634" width="16" style="27" customWidth="1"/>
    <col min="5635" max="5635" width="15.7109375" style="27" bestFit="1" customWidth="1"/>
    <col min="5636" max="5637" width="10.140625" style="27" bestFit="1" customWidth="1"/>
    <col min="5638" max="5638" width="33.42578125" style="27" bestFit="1" customWidth="1"/>
    <col min="5639" max="5639" width="14" style="27" customWidth="1"/>
    <col min="5640" max="5640" width="4.85546875" style="27" bestFit="1" customWidth="1"/>
    <col min="5641" max="5641" width="14.28515625" style="27" bestFit="1" customWidth="1"/>
    <col min="5642" max="5642" width="13.5703125" style="27" bestFit="1" customWidth="1"/>
    <col min="5643" max="5643" width="9.5703125" style="27" bestFit="1" customWidth="1"/>
    <col min="5644" max="5644" width="5.85546875" style="27" bestFit="1" customWidth="1"/>
    <col min="5645" max="5646" width="11.5703125" style="27" bestFit="1" customWidth="1"/>
    <col min="5647" max="5647" width="6.85546875" style="27" bestFit="1" customWidth="1"/>
    <col min="5648" max="5648" width="4.42578125" style="27" bestFit="1" customWidth="1"/>
    <col min="5649" max="5649" width="8.42578125" style="27" bestFit="1" customWidth="1"/>
    <col min="5650" max="5650" width="1.85546875" style="27" bestFit="1" customWidth="1"/>
    <col min="5651" max="5651" width="9.85546875" style="27" bestFit="1" customWidth="1"/>
    <col min="5652" max="5653" width="9" style="27"/>
    <col min="5654" max="5654" width="20.42578125" style="27" bestFit="1" customWidth="1"/>
    <col min="5655" max="5655" width="9.85546875" style="27" bestFit="1" customWidth="1"/>
    <col min="5656" max="5888" width="9" style="27"/>
    <col min="5889" max="5889" width="15.5703125" style="27" bestFit="1" customWidth="1"/>
    <col min="5890" max="5890" width="16" style="27" customWidth="1"/>
    <col min="5891" max="5891" width="15.7109375" style="27" bestFit="1" customWidth="1"/>
    <col min="5892" max="5893" width="10.140625" style="27" bestFit="1" customWidth="1"/>
    <col min="5894" max="5894" width="33.42578125" style="27" bestFit="1" customWidth="1"/>
    <col min="5895" max="5895" width="14" style="27" customWidth="1"/>
    <col min="5896" max="5896" width="4.85546875" style="27" bestFit="1" customWidth="1"/>
    <col min="5897" max="5897" width="14.28515625" style="27" bestFit="1" customWidth="1"/>
    <col min="5898" max="5898" width="13.5703125" style="27" bestFit="1" customWidth="1"/>
    <col min="5899" max="5899" width="9.5703125" style="27" bestFit="1" customWidth="1"/>
    <col min="5900" max="5900" width="5.85546875" style="27" bestFit="1" customWidth="1"/>
    <col min="5901" max="5902" width="11.5703125" style="27" bestFit="1" customWidth="1"/>
    <col min="5903" max="5903" width="6.85546875" style="27" bestFit="1" customWidth="1"/>
    <col min="5904" max="5904" width="4.42578125" style="27" bestFit="1" customWidth="1"/>
    <col min="5905" max="5905" width="8.42578125" style="27" bestFit="1" customWidth="1"/>
    <col min="5906" max="5906" width="1.85546875" style="27" bestFit="1" customWidth="1"/>
    <col min="5907" max="5907" width="9.85546875" style="27" bestFit="1" customWidth="1"/>
    <col min="5908" max="5909" width="9" style="27"/>
    <col min="5910" max="5910" width="20.42578125" style="27" bestFit="1" customWidth="1"/>
    <col min="5911" max="5911" width="9.85546875" style="27" bestFit="1" customWidth="1"/>
    <col min="5912" max="6144" width="9" style="27"/>
    <col min="6145" max="6145" width="15.5703125" style="27" bestFit="1" customWidth="1"/>
    <col min="6146" max="6146" width="16" style="27" customWidth="1"/>
    <col min="6147" max="6147" width="15.7109375" style="27" bestFit="1" customWidth="1"/>
    <col min="6148" max="6149" width="10.140625" style="27" bestFit="1" customWidth="1"/>
    <col min="6150" max="6150" width="33.42578125" style="27" bestFit="1" customWidth="1"/>
    <col min="6151" max="6151" width="14" style="27" customWidth="1"/>
    <col min="6152" max="6152" width="4.85546875" style="27" bestFit="1" customWidth="1"/>
    <col min="6153" max="6153" width="14.28515625" style="27" bestFit="1" customWidth="1"/>
    <col min="6154" max="6154" width="13.5703125" style="27" bestFit="1" customWidth="1"/>
    <col min="6155" max="6155" width="9.5703125" style="27" bestFit="1" customWidth="1"/>
    <col min="6156" max="6156" width="5.85546875" style="27" bestFit="1" customWidth="1"/>
    <col min="6157" max="6158" width="11.5703125" style="27" bestFit="1" customWidth="1"/>
    <col min="6159" max="6159" width="6.85546875" style="27" bestFit="1" customWidth="1"/>
    <col min="6160" max="6160" width="4.42578125" style="27" bestFit="1" customWidth="1"/>
    <col min="6161" max="6161" width="8.42578125" style="27" bestFit="1" customWidth="1"/>
    <col min="6162" max="6162" width="1.85546875" style="27" bestFit="1" customWidth="1"/>
    <col min="6163" max="6163" width="9.85546875" style="27" bestFit="1" customWidth="1"/>
    <col min="6164" max="6165" width="9" style="27"/>
    <col min="6166" max="6166" width="20.42578125" style="27" bestFit="1" customWidth="1"/>
    <col min="6167" max="6167" width="9.85546875" style="27" bestFit="1" customWidth="1"/>
    <col min="6168" max="6400" width="9" style="27"/>
    <col min="6401" max="6401" width="15.5703125" style="27" bestFit="1" customWidth="1"/>
    <col min="6402" max="6402" width="16" style="27" customWidth="1"/>
    <col min="6403" max="6403" width="15.7109375" style="27" bestFit="1" customWidth="1"/>
    <col min="6404" max="6405" width="10.140625" style="27" bestFit="1" customWidth="1"/>
    <col min="6406" max="6406" width="33.42578125" style="27" bestFit="1" customWidth="1"/>
    <col min="6407" max="6407" width="14" style="27" customWidth="1"/>
    <col min="6408" max="6408" width="4.85546875" style="27" bestFit="1" customWidth="1"/>
    <col min="6409" max="6409" width="14.28515625" style="27" bestFit="1" customWidth="1"/>
    <col min="6410" max="6410" width="13.5703125" style="27" bestFit="1" customWidth="1"/>
    <col min="6411" max="6411" width="9.5703125" style="27" bestFit="1" customWidth="1"/>
    <col min="6412" max="6412" width="5.85546875" style="27" bestFit="1" customWidth="1"/>
    <col min="6413" max="6414" width="11.5703125" style="27" bestFit="1" customWidth="1"/>
    <col min="6415" max="6415" width="6.85546875" style="27" bestFit="1" customWidth="1"/>
    <col min="6416" max="6416" width="4.42578125" style="27" bestFit="1" customWidth="1"/>
    <col min="6417" max="6417" width="8.42578125" style="27" bestFit="1" customWidth="1"/>
    <col min="6418" max="6418" width="1.85546875" style="27" bestFit="1" customWidth="1"/>
    <col min="6419" max="6419" width="9.85546875" style="27" bestFit="1" customWidth="1"/>
    <col min="6420" max="6421" width="9" style="27"/>
    <col min="6422" max="6422" width="20.42578125" style="27" bestFit="1" customWidth="1"/>
    <col min="6423" max="6423" width="9.85546875" style="27" bestFit="1" customWidth="1"/>
    <col min="6424" max="6656" width="9" style="27"/>
    <col min="6657" max="6657" width="15.5703125" style="27" bestFit="1" customWidth="1"/>
    <col min="6658" max="6658" width="16" style="27" customWidth="1"/>
    <col min="6659" max="6659" width="15.7109375" style="27" bestFit="1" customWidth="1"/>
    <col min="6660" max="6661" width="10.140625" style="27" bestFit="1" customWidth="1"/>
    <col min="6662" max="6662" width="33.42578125" style="27" bestFit="1" customWidth="1"/>
    <col min="6663" max="6663" width="14" style="27" customWidth="1"/>
    <col min="6664" max="6664" width="4.85546875" style="27" bestFit="1" customWidth="1"/>
    <col min="6665" max="6665" width="14.28515625" style="27" bestFit="1" customWidth="1"/>
    <col min="6666" max="6666" width="13.5703125" style="27" bestFit="1" customWidth="1"/>
    <col min="6667" max="6667" width="9.5703125" style="27" bestFit="1" customWidth="1"/>
    <col min="6668" max="6668" width="5.85546875" style="27" bestFit="1" customWidth="1"/>
    <col min="6669" max="6670" width="11.5703125" style="27" bestFit="1" customWidth="1"/>
    <col min="6671" max="6671" width="6.85546875" style="27" bestFit="1" customWidth="1"/>
    <col min="6672" max="6672" width="4.42578125" style="27" bestFit="1" customWidth="1"/>
    <col min="6673" max="6673" width="8.42578125" style="27" bestFit="1" customWidth="1"/>
    <col min="6674" max="6674" width="1.85546875" style="27" bestFit="1" customWidth="1"/>
    <col min="6675" max="6675" width="9.85546875" style="27" bestFit="1" customWidth="1"/>
    <col min="6676" max="6677" width="9" style="27"/>
    <col min="6678" max="6678" width="20.42578125" style="27" bestFit="1" customWidth="1"/>
    <col min="6679" max="6679" width="9.85546875" style="27" bestFit="1" customWidth="1"/>
    <col min="6680" max="6912" width="9" style="27"/>
    <col min="6913" max="6913" width="15.5703125" style="27" bestFit="1" customWidth="1"/>
    <col min="6914" max="6914" width="16" style="27" customWidth="1"/>
    <col min="6915" max="6915" width="15.7109375" style="27" bestFit="1" customWidth="1"/>
    <col min="6916" max="6917" width="10.140625" style="27" bestFit="1" customWidth="1"/>
    <col min="6918" max="6918" width="33.42578125" style="27" bestFit="1" customWidth="1"/>
    <col min="6919" max="6919" width="14" style="27" customWidth="1"/>
    <col min="6920" max="6920" width="4.85546875" style="27" bestFit="1" customWidth="1"/>
    <col min="6921" max="6921" width="14.28515625" style="27" bestFit="1" customWidth="1"/>
    <col min="6922" max="6922" width="13.5703125" style="27" bestFit="1" customWidth="1"/>
    <col min="6923" max="6923" width="9.5703125" style="27" bestFit="1" customWidth="1"/>
    <col min="6924" max="6924" width="5.85546875" style="27" bestFit="1" customWidth="1"/>
    <col min="6925" max="6926" width="11.5703125" style="27" bestFit="1" customWidth="1"/>
    <col min="6927" max="6927" width="6.85546875" style="27" bestFit="1" customWidth="1"/>
    <col min="6928" max="6928" width="4.42578125" style="27" bestFit="1" customWidth="1"/>
    <col min="6929" max="6929" width="8.42578125" style="27" bestFit="1" customWidth="1"/>
    <col min="6930" max="6930" width="1.85546875" style="27" bestFit="1" customWidth="1"/>
    <col min="6931" max="6931" width="9.85546875" style="27" bestFit="1" customWidth="1"/>
    <col min="6932" max="6933" width="9" style="27"/>
    <col min="6934" max="6934" width="20.42578125" style="27" bestFit="1" customWidth="1"/>
    <col min="6935" max="6935" width="9.85546875" style="27" bestFit="1" customWidth="1"/>
    <col min="6936" max="7168" width="9" style="27"/>
    <col min="7169" max="7169" width="15.5703125" style="27" bestFit="1" customWidth="1"/>
    <col min="7170" max="7170" width="16" style="27" customWidth="1"/>
    <col min="7171" max="7171" width="15.7109375" style="27" bestFit="1" customWidth="1"/>
    <col min="7172" max="7173" width="10.140625" style="27" bestFit="1" customWidth="1"/>
    <col min="7174" max="7174" width="33.42578125" style="27" bestFit="1" customWidth="1"/>
    <col min="7175" max="7175" width="14" style="27" customWidth="1"/>
    <col min="7176" max="7176" width="4.85546875" style="27" bestFit="1" customWidth="1"/>
    <col min="7177" max="7177" width="14.28515625" style="27" bestFit="1" customWidth="1"/>
    <col min="7178" max="7178" width="13.5703125" style="27" bestFit="1" customWidth="1"/>
    <col min="7179" max="7179" width="9.5703125" style="27" bestFit="1" customWidth="1"/>
    <col min="7180" max="7180" width="5.85546875" style="27" bestFit="1" customWidth="1"/>
    <col min="7181" max="7182" width="11.5703125" style="27" bestFit="1" customWidth="1"/>
    <col min="7183" max="7183" width="6.85546875" style="27" bestFit="1" customWidth="1"/>
    <col min="7184" max="7184" width="4.42578125" style="27" bestFit="1" customWidth="1"/>
    <col min="7185" max="7185" width="8.42578125" style="27" bestFit="1" customWidth="1"/>
    <col min="7186" max="7186" width="1.85546875" style="27" bestFit="1" customWidth="1"/>
    <col min="7187" max="7187" width="9.85546875" style="27" bestFit="1" customWidth="1"/>
    <col min="7188" max="7189" width="9" style="27"/>
    <col min="7190" max="7190" width="20.42578125" style="27" bestFit="1" customWidth="1"/>
    <col min="7191" max="7191" width="9.85546875" style="27" bestFit="1" customWidth="1"/>
    <col min="7192" max="7424" width="9" style="27"/>
    <col min="7425" max="7425" width="15.5703125" style="27" bestFit="1" customWidth="1"/>
    <col min="7426" max="7426" width="16" style="27" customWidth="1"/>
    <col min="7427" max="7427" width="15.7109375" style="27" bestFit="1" customWidth="1"/>
    <col min="7428" max="7429" width="10.140625" style="27" bestFit="1" customWidth="1"/>
    <col min="7430" max="7430" width="33.42578125" style="27" bestFit="1" customWidth="1"/>
    <col min="7431" max="7431" width="14" style="27" customWidth="1"/>
    <col min="7432" max="7432" width="4.85546875" style="27" bestFit="1" customWidth="1"/>
    <col min="7433" max="7433" width="14.28515625" style="27" bestFit="1" customWidth="1"/>
    <col min="7434" max="7434" width="13.5703125" style="27" bestFit="1" customWidth="1"/>
    <col min="7435" max="7435" width="9.5703125" style="27" bestFit="1" customWidth="1"/>
    <col min="7436" max="7436" width="5.85546875" style="27" bestFit="1" customWidth="1"/>
    <col min="7437" max="7438" width="11.5703125" style="27" bestFit="1" customWidth="1"/>
    <col min="7439" max="7439" width="6.85546875" style="27" bestFit="1" customWidth="1"/>
    <col min="7440" max="7440" width="4.42578125" style="27" bestFit="1" customWidth="1"/>
    <col min="7441" max="7441" width="8.42578125" style="27" bestFit="1" customWidth="1"/>
    <col min="7442" max="7442" width="1.85546875" style="27" bestFit="1" customWidth="1"/>
    <col min="7443" max="7443" width="9.85546875" style="27" bestFit="1" customWidth="1"/>
    <col min="7444" max="7445" width="9" style="27"/>
    <col min="7446" max="7446" width="20.42578125" style="27" bestFit="1" customWidth="1"/>
    <col min="7447" max="7447" width="9.85546875" style="27" bestFit="1" customWidth="1"/>
    <col min="7448" max="7680" width="9" style="27"/>
    <col min="7681" max="7681" width="15.5703125" style="27" bestFit="1" customWidth="1"/>
    <col min="7682" max="7682" width="16" style="27" customWidth="1"/>
    <col min="7683" max="7683" width="15.7109375" style="27" bestFit="1" customWidth="1"/>
    <col min="7684" max="7685" width="10.140625" style="27" bestFit="1" customWidth="1"/>
    <col min="7686" max="7686" width="33.42578125" style="27" bestFit="1" customWidth="1"/>
    <col min="7687" max="7687" width="14" style="27" customWidth="1"/>
    <col min="7688" max="7688" width="4.85546875" style="27" bestFit="1" customWidth="1"/>
    <col min="7689" max="7689" width="14.28515625" style="27" bestFit="1" customWidth="1"/>
    <col min="7690" max="7690" width="13.5703125" style="27" bestFit="1" customWidth="1"/>
    <col min="7691" max="7691" width="9.5703125" style="27" bestFit="1" customWidth="1"/>
    <col min="7692" max="7692" width="5.85546875" style="27" bestFit="1" customWidth="1"/>
    <col min="7693" max="7694" width="11.5703125" style="27" bestFit="1" customWidth="1"/>
    <col min="7695" max="7695" width="6.85546875" style="27" bestFit="1" customWidth="1"/>
    <col min="7696" max="7696" width="4.42578125" style="27" bestFit="1" customWidth="1"/>
    <col min="7697" max="7697" width="8.42578125" style="27" bestFit="1" customWidth="1"/>
    <col min="7698" max="7698" width="1.85546875" style="27" bestFit="1" customWidth="1"/>
    <col min="7699" max="7699" width="9.85546875" style="27" bestFit="1" customWidth="1"/>
    <col min="7700" max="7701" width="9" style="27"/>
    <col min="7702" max="7702" width="20.42578125" style="27" bestFit="1" customWidth="1"/>
    <col min="7703" max="7703" width="9.85546875" style="27" bestFit="1" customWidth="1"/>
    <col min="7704" max="7936" width="9" style="27"/>
    <col min="7937" max="7937" width="15.5703125" style="27" bestFit="1" customWidth="1"/>
    <col min="7938" max="7938" width="16" style="27" customWidth="1"/>
    <col min="7939" max="7939" width="15.7109375" style="27" bestFit="1" customWidth="1"/>
    <col min="7940" max="7941" width="10.140625" style="27" bestFit="1" customWidth="1"/>
    <col min="7942" max="7942" width="33.42578125" style="27" bestFit="1" customWidth="1"/>
    <col min="7943" max="7943" width="14" style="27" customWidth="1"/>
    <col min="7944" max="7944" width="4.85546875" style="27" bestFit="1" customWidth="1"/>
    <col min="7945" max="7945" width="14.28515625" style="27" bestFit="1" customWidth="1"/>
    <col min="7946" max="7946" width="13.5703125" style="27" bestFit="1" customWidth="1"/>
    <col min="7947" max="7947" width="9.5703125" style="27" bestFit="1" customWidth="1"/>
    <col min="7948" max="7948" width="5.85546875" style="27" bestFit="1" customWidth="1"/>
    <col min="7949" max="7950" width="11.5703125" style="27" bestFit="1" customWidth="1"/>
    <col min="7951" max="7951" width="6.85546875" style="27" bestFit="1" customWidth="1"/>
    <col min="7952" max="7952" width="4.42578125" style="27" bestFit="1" customWidth="1"/>
    <col min="7953" max="7953" width="8.42578125" style="27" bestFit="1" customWidth="1"/>
    <col min="7954" max="7954" width="1.85546875" style="27" bestFit="1" customWidth="1"/>
    <col min="7955" max="7955" width="9.85546875" style="27" bestFit="1" customWidth="1"/>
    <col min="7956" max="7957" width="9" style="27"/>
    <col min="7958" max="7958" width="20.42578125" style="27" bestFit="1" customWidth="1"/>
    <col min="7959" max="7959" width="9.85546875" style="27" bestFit="1" customWidth="1"/>
    <col min="7960" max="8192" width="9" style="27"/>
    <col min="8193" max="8193" width="15.5703125" style="27" bestFit="1" customWidth="1"/>
    <col min="8194" max="8194" width="16" style="27" customWidth="1"/>
    <col min="8195" max="8195" width="15.7109375" style="27" bestFit="1" customWidth="1"/>
    <col min="8196" max="8197" width="10.140625" style="27" bestFit="1" customWidth="1"/>
    <col min="8198" max="8198" width="33.42578125" style="27" bestFit="1" customWidth="1"/>
    <col min="8199" max="8199" width="14" style="27" customWidth="1"/>
    <col min="8200" max="8200" width="4.85546875" style="27" bestFit="1" customWidth="1"/>
    <col min="8201" max="8201" width="14.28515625" style="27" bestFit="1" customWidth="1"/>
    <col min="8202" max="8202" width="13.5703125" style="27" bestFit="1" customWidth="1"/>
    <col min="8203" max="8203" width="9.5703125" style="27" bestFit="1" customWidth="1"/>
    <col min="8204" max="8204" width="5.85546875" style="27" bestFit="1" customWidth="1"/>
    <col min="8205" max="8206" width="11.5703125" style="27" bestFit="1" customWidth="1"/>
    <col min="8207" max="8207" width="6.85546875" style="27" bestFit="1" customWidth="1"/>
    <col min="8208" max="8208" width="4.42578125" style="27" bestFit="1" customWidth="1"/>
    <col min="8209" max="8209" width="8.42578125" style="27" bestFit="1" customWidth="1"/>
    <col min="8210" max="8210" width="1.85546875" style="27" bestFit="1" customWidth="1"/>
    <col min="8211" max="8211" width="9.85546875" style="27" bestFit="1" customWidth="1"/>
    <col min="8212" max="8213" width="9" style="27"/>
    <col min="8214" max="8214" width="20.42578125" style="27" bestFit="1" customWidth="1"/>
    <col min="8215" max="8215" width="9.85546875" style="27" bestFit="1" customWidth="1"/>
    <col min="8216" max="8448" width="9" style="27"/>
    <col min="8449" max="8449" width="15.5703125" style="27" bestFit="1" customWidth="1"/>
    <col min="8450" max="8450" width="16" style="27" customWidth="1"/>
    <col min="8451" max="8451" width="15.7109375" style="27" bestFit="1" customWidth="1"/>
    <col min="8452" max="8453" width="10.140625" style="27" bestFit="1" customWidth="1"/>
    <col min="8454" max="8454" width="33.42578125" style="27" bestFit="1" customWidth="1"/>
    <col min="8455" max="8455" width="14" style="27" customWidth="1"/>
    <col min="8456" max="8456" width="4.85546875" style="27" bestFit="1" customWidth="1"/>
    <col min="8457" max="8457" width="14.28515625" style="27" bestFit="1" customWidth="1"/>
    <col min="8458" max="8458" width="13.5703125" style="27" bestFit="1" customWidth="1"/>
    <col min="8459" max="8459" width="9.5703125" style="27" bestFit="1" customWidth="1"/>
    <col min="8460" max="8460" width="5.85546875" style="27" bestFit="1" customWidth="1"/>
    <col min="8461" max="8462" width="11.5703125" style="27" bestFit="1" customWidth="1"/>
    <col min="8463" max="8463" width="6.85546875" style="27" bestFit="1" customWidth="1"/>
    <col min="8464" max="8464" width="4.42578125" style="27" bestFit="1" customWidth="1"/>
    <col min="8465" max="8465" width="8.42578125" style="27" bestFit="1" customWidth="1"/>
    <col min="8466" max="8466" width="1.85546875" style="27" bestFit="1" customWidth="1"/>
    <col min="8467" max="8467" width="9.85546875" style="27" bestFit="1" customWidth="1"/>
    <col min="8468" max="8469" width="9" style="27"/>
    <col min="8470" max="8470" width="20.42578125" style="27" bestFit="1" customWidth="1"/>
    <col min="8471" max="8471" width="9.85546875" style="27" bestFit="1" customWidth="1"/>
    <col min="8472" max="8704" width="9" style="27"/>
    <col min="8705" max="8705" width="15.5703125" style="27" bestFit="1" customWidth="1"/>
    <col min="8706" max="8706" width="16" style="27" customWidth="1"/>
    <col min="8707" max="8707" width="15.7109375" style="27" bestFit="1" customWidth="1"/>
    <col min="8708" max="8709" width="10.140625" style="27" bestFit="1" customWidth="1"/>
    <col min="8710" max="8710" width="33.42578125" style="27" bestFit="1" customWidth="1"/>
    <col min="8711" max="8711" width="14" style="27" customWidth="1"/>
    <col min="8712" max="8712" width="4.85546875" style="27" bestFit="1" customWidth="1"/>
    <col min="8713" max="8713" width="14.28515625" style="27" bestFit="1" customWidth="1"/>
    <col min="8714" max="8714" width="13.5703125" style="27" bestFit="1" customWidth="1"/>
    <col min="8715" max="8715" width="9.5703125" style="27" bestFit="1" customWidth="1"/>
    <col min="8716" max="8716" width="5.85546875" style="27" bestFit="1" customWidth="1"/>
    <col min="8717" max="8718" width="11.5703125" style="27" bestFit="1" customWidth="1"/>
    <col min="8719" max="8719" width="6.85546875" style="27" bestFit="1" customWidth="1"/>
    <col min="8720" max="8720" width="4.42578125" style="27" bestFit="1" customWidth="1"/>
    <col min="8721" max="8721" width="8.42578125" style="27" bestFit="1" customWidth="1"/>
    <col min="8722" max="8722" width="1.85546875" style="27" bestFit="1" customWidth="1"/>
    <col min="8723" max="8723" width="9.85546875" style="27" bestFit="1" customWidth="1"/>
    <col min="8724" max="8725" width="9" style="27"/>
    <col min="8726" max="8726" width="20.42578125" style="27" bestFit="1" customWidth="1"/>
    <col min="8727" max="8727" width="9.85546875" style="27" bestFit="1" customWidth="1"/>
    <col min="8728" max="8960" width="9" style="27"/>
    <col min="8961" max="8961" width="15.5703125" style="27" bestFit="1" customWidth="1"/>
    <col min="8962" max="8962" width="16" style="27" customWidth="1"/>
    <col min="8963" max="8963" width="15.7109375" style="27" bestFit="1" customWidth="1"/>
    <col min="8964" max="8965" width="10.140625" style="27" bestFit="1" customWidth="1"/>
    <col min="8966" max="8966" width="33.42578125" style="27" bestFit="1" customWidth="1"/>
    <col min="8967" max="8967" width="14" style="27" customWidth="1"/>
    <col min="8968" max="8968" width="4.85546875" style="27" bestFit="1" customWidth="1"/>
    <col min="8969" max="8969" width="14.28515625" style="27" bestFit="1" customWidth="1"/>
    <col min="8970" max="8970" width="13.5703125" style="27" bestFit="1" customWidth="1"/>
    <col min="8971" max="8971" width="9.5703125" style="27" bestFit="1" customWidth="1"/>
    <col min="8972" max="8972" width="5.85546875" style="27" bestFit="1" customWidth="1"/>
    <col min="8973" max="8974" width="11.5703125" style="27" bestFit="1" customWidth="1"/>
    <col min="8975" max="8975" width="6.85546875" style="27" bestFit="1" customWidth="1"/>
    <col min="8976" max="8976" width="4.42578125" style="27" bestFit="1" customWidth="1"/>
    <col min="8977" max="8977" width="8.42578125" style="27" bestFit="1" customWidth="1"/>
    <col min="8978" max="8978" width="1.85546875" style="27" bestFit="1" customWidth="1"/>
    <col min="8979" max="8979" width="9.85546875" style="27" bestFit="1" customWidth="1"/>
    <col min="8980" max="8981" width="9" style="27"/>
    <col min="8982" max="8982" width="20.42578125" style="27" bestFit="1" customWidth="1"/>
    <col min="8983" max="8983" width="9.85546875" style="27" bestFit="1" customWidth="1"/>
    <col min="8984" max="9216" width="9" style="27"/>
    <col min="9217" max="9217" width="15.5703125" style="27" bestFit="1" customWidth="1"/>
    <col min="9218" max="9218" width="16" style="27" customWidth="1"/>
    <col min="9219" max="9219" width="15.7109375" style="27" bestFit="1" customWidth="1"/>
    <col min="9220" max="9221" width="10.140625" style="27" bestFit="1" customWidth="1"/>
    <col min="9222" max="9222" width="33.42578125" style="27" bestFit="1" customWidth="1"/>
    <col min="9223" max="9223" width="14" style="27" customWidth="1"/>
    <col min="9224" max="9224" width="4.85546875" style="27" bestFit="1" customWidth="1"/>
    <col min="9225" max="9225" width="14.28515625" style="27" bestFit="1" customWidth="1"/>
    <col min="9226" max="9226" width="13.5703125" style="27" bestFit="1" customWidth="1"/>
    <col min="9227" max="9227" width="9.5703125" style="27" bestFit="1" customWidth="1"/>
    <col min="9228" max="9228" width="5.85546875" style="27" bestFit="1" customWidth="1"/>
    <col min="9229" max="9230" width="11.5703125" style="27" bestFit="1" customWidth="1"/>
    <col min="9231" max="9231" width="6.85546875" style="27" bestFit="1" customWidth="1"/>
    <col min="9232" max="9232" width="4.42578125" style="27" bestFit="1" customWidth="1"/>
    <col min="9233" max="9233" width="8.42578125" style="27" bestFit="1" customWidth="1"/>
    <col min="9234" max="9234" width="1.85546875" style="27" bestFit="1" customWidth="1"/>
    <col min="9235" max="9235" width="9.85546875" style="27" bestFit="1" customWidth="1"/>
    <col min="9236" max="9237" width="9" style="27"/>
    <col min="9238" max="9238" width="20.42578125" style="27" bestFit="1" customWidth="1"/>
    <col min="9239" max="9239" width="9.85546875" style="27" bestFit="1" customWidth="1"/>
    <col min="9240" max="9472" width="9" style="27"/>
    <col min="9473" max="9473" width="15.5703125" style="27" bestFit="1" customWidth="1"/>
    <col min="9474" max="9474" width="16" style="27" customWidth="1"/>
    <col min="9475" max="9475" width="15.7109375" style="27" bestFit="1" customWidth="1"/>
    <col min="9476" max="9477" width="10.140625" style="27" bestFit="1" customWidth="1"/>
    <col min="9478" max="9478" width="33.42578125" style="27" bestFit="1" customWidth="1"/>
    <col min="9479" max="9479" width="14" style="27" customWidth="1"/>
    <col min="9480" max="9480" width="4.85546875" style="27" bestFit="1" customWidth="1"/>
    <col min="9481" max="9481" width="14.28515625" style="27" bestFit="1" customWidth="1"/>
    <col min="9482" max="9482" width="13.5703125" style="27" bestFit="1" customWidth="1"/>
    <col min="9483" max="9483" width="9.5703125" style="27" bestFit="1" customWidth="1"/>
    <col min="9484" max="9484" width="5.85546875" style="27" bestFit="1" customWidth="1"/>
    <col min="9485" max="9486" width="11.5703125" style="27" bestFit="1" customWidth="1"/>
    <col min="9487" max="9487" width="6.85546875" style="27" bestFit="1" customWidth="1"/>
    <col min="9488" max="9488" width="4.42578125" style="27" bestFit="1" customWidth="1"/>
    <col min="9489" max="9489" width="8.42578125" style="27" bestFit="1" customWidth="1"/>
    <col min="9490" max="9490" width="1.85546875" style="27" bestFit="1" customWidth="1"/>
    <col min="9491" max="9491" width="9.85546875" style="27" bestFit="1" customWidth="1"/>
    <col min="9492" max="9493" width="9" style="27"/>
    <col min="9494" max="9494" width="20.42578125" style="27" bestFit="1" customWidth="1"/>
    <col min="9495" max="9495" width="9.85546875" style="27" bestFit="1" customWidth="1"/>
    <col min="9496" max="9728" width="9" style="27"/>
    <col min="9729" max="9729" width="15.5703125" style="27" bestFit="1" customWidth="1"/>
    <col min="9730" max="9730" width="16" style="27" customWidth="1"/>
    <col min="9731" max="9731" width="15.7109375" style="27" bestFit="1" customWidth="1"/>
    <col min="9732" max="9733" width="10.140625" style="27" bestFit="1" customWidth="1"/>
    <col min="9734" max="9734" width="33.42578125" style="27" bestFit="1" customWidth="1"/>
    <col min="9735" max="9735" width="14" style="27" customWidth="1"/>
    <col min="9736" max="9736" width="4.85546875" style="27" bestFit="1" customWidth="1"/>
    <col min="9737" max="9737" width="14.28515625" style="27" bestFit="1" customWidth="1"/>
    <col min="9738" max="9738" width="13.5703125" style="27" bestFit="1" customWidth="1"/>
    <col min="9739" max="9739" width="9.5703125" style="27" bestFit="1" customWidth="1"/>
    <col min="9740" max="9740" width="5.85546875" style="27" bestFit="1" customWidth="1"/>
    <col min="9741" max="9742" width="11.5703125" style="27" bestFit="1" customWidth="1"/>
    <col min="9743" max="9743" width="6.85546875" style="27" bestFit="1" customWidth="1"/>
    <col min="9744" max="9744" width="4.42578125" style="27" bestFit="1" customWidth="1"/>
    <col min="9745" max="9745" width="8.42578125" style="27" bestFit="1" customWidth="1"/>
    <col min="9746" max="9746" width="1.85546875" style="27" bestFit="1" customWidth="1"/>
    <col min="9747" max="9747" width="9.85546875" style="27" bestFit="1" customWidth="1"/>
    <col min="9748" max="9749" width="9" style="27"/>
    <col min="9750" max="9750" width="20.42578125" style="27" bestFit="1" customWidth="1"/>
    <col min="9751" max="9751" width="9.85546875" style="27" bestFit="1" customWidth="1"/>
    <col min="9752" max="9984" width="9" style="27"/>
    <col min="9985" max="9985" width="15.5703125" style="27" bestFit="1" customWidth="1"/>
    <col min="9986" max="9986" width="16" style="27" customWidth="1"/>
    <col min="9987" max="9987" width="15.7109375" style="27" bestFit="1" customWidth="1"/>
    <col min="9988" max="9989" width="10.140625" style="27" bestFit="1" customWidth="1"/>
    <col min="9990" max="9990" width="33.42578125" style="27" bestFit="1" customWidth="1"/>
    <col min="9991" max="9991" width="14" style="27" customWidth="1"/>
    <col min="9992" max="9992" width="4.85546875" style="27" bestFit="1" customWidth="1"/>
    <col min="9993" max="9993" width="14.28515625" style="27" bestFit="1" customWidth="1"/>
    <col min="9994" max="9994" width="13.5703125" style="27" bestFit="1" customWidth="1"/>
    <col min="9995" max="9995" width="9.5703125" style="27" bestFit="1" customWidth="1"/>
    <col min="9996" max="9996" width="5.85546875" style="27" bestFit="1" customWidth="1"/>
    <col min="9997" max="9998" width="11.5703125" style="27" bestFit="1" customWidth="1"/>
    <col min="9999" max="9999" width="6.85546875" style="27" bestFit="1" customWidth="1"/>
    <col min="10000" max="10000" width="4.42578125" style="27" bestFit="1" customWidth="1"/>
    <col min="10001" max="10001" width="8.42578125" style="27" bestFit="1" customWidth="1"/>
    <col min="10002" max="10002" width="1.85546875" style="27" bestFit="1" customWidth="1"/>
    <col min="10003" max="10003" width="9.85546875" style="27" bestFit="1" customWidth="1"/>
    <col min="10004" max="10005" width="9" style="27"/>
    <col min="10006" max="10006" width="20.42578125" style="27" bestFit="1" customWidth="1"/>
    <col min="10007" max="10007" width="9.85546875" style="27" bestFit="1" customWidth="1"/>
    <col min="10008" max="10240" width="9" style="27"/>
    <col min="10241" max="10241" width="15.5703125" style="27" bestFit="1" customWidth="1"/>
    <col min="10242" max="10242" width="16" style="27" customWidth="1"/>
    <col min="10243" max="10243" width="15.7109375" style="27" bestFit="1" customWidth="1"/>
    <col min="10244" max="10245" width="10.140625" style="27" bestFit="1" customWidth="1"/>
    <col min="10246" max="10246" width="33.42578125" style="27" bestFit="1" customWidth="1"/>
    <col min="10247" max="10247" width="14" style="27" customWidth="1"/>
    <col min="10248" max="10248" width="4.85546875" style="27" bestFit="1" customWidth="1"/>
    <col min="10249" max="10249" width="14.28515625" style="27" bestFit="1" customWidth="1"/>
    <col min="10250" max="10250" width="13.5703125" style="27" bestFit="1" customWidth="1"/>
    <col min="10251" max="10251" width="9.5703125" style="27" bestFit="1" customWidth="1"/>
    <col min="10252" max="10252" width="5.85546875" style="27" bestFit="1" customWidth="1"/>
    <col min="10253" max="10254" width="11.5703125" style="27" bestFit="1" customWidth="1"/>
    <col min="10255" max="10255" width="6.85546875" style="27" bestFit="1" customWidth="1"/>
    <col min="10256" max="10256" width="4.42578125" style="27" bestFit="1" customWidth="1"/>
    <col min="10257" max="10257" width="8.42578125" style="27" bestFit="1" customWidth="1"/>
    <col min="10258" max="10258" width="1.85546875" style="27" bestFit="1" customWidth="1"/>
    <col min="10259" max="10259" width="9.85546875" style="27" bestFit="1" customWidth="1"/>
    <col min="10260" max="10261" width="9" style="27"/>
    <col min="10262" max="10262" width="20.42578125" style="27" bestFit="1" customWidth="1"/>
    <col min="10263" max="10263" width="9.85546875" style="27" bestFit="1" customWidth="1"/>
    <col min="10264" max="10496" width="9" style="27"/>
    <col min="10497" max="10497" width="15.5703125" style="27" bestFit="1" customWidth="1"/>
    <col min="10498" max="10498" width="16" style="27" customWidth="1"/>
    <col min="10499" max="10499" width="15.7109375" style="27" bestFit="1" customWidth="1"/>
    <col min="10500" max="10501" width="10.140625" style="27" bestFit="1" customWidth="1"/>
    <col min="10502" max="10502" width="33.42578125" style="27" bestFit="1" customWidth="1"/>
    <col min="10503" max="10503" width="14" style="27" customWidth="1"/>
    <col min="10504" max="10504" width="4.85546875" style="27" bestFit="1" customWidth="1"/>
    <col min="10505" max="10505" width="14.28515625" style="27" bestFit="1" customWidth="1"/>
    <col min="10506" max="10506" width="13.5703125" style="27" bestFit="1" customWidth="1"/>
    <col min="10507" max="10507" width="9.5703125" style="27" bestFit="1" customWidth="1"/>
    <col min="10508" max="10508" width="5.85546875" style="27" bestFit="1" customWidth="1"/>
    <col min="10509" max="10510" width="11.5703125" style="27" bestFit="1" customWidth="1"/>
    <col min="10511" max="10511" width="6.85546875" style="27" bestFit="1" customWidth="1"/>
    <col min="10512" max="10512" width="4.42578125" style="27" bestFit="1" customWidth="1"/>
    <col min="10513" max="10513" width="8.42578125" style="27" bestFit="1" customWidth="1"/>
    <col min="10514" max="10514" width="1.85546875" style="27" bestFit="1" customWidth="1"/>
    <col min="10515" max="10515" width="9.85546875" style="27" bestFit="1" customWidth="1"/>
    <col min="10516" max="10517" width="9" style="27"/>
    <col min="10518" max="10518" width="20.42578125" style="27" bestFit="1" customWidth="1"/>
    <col min="10519" max="10519" width="9.85546875" style="27" bestFit="1" customWidth="1"/>
    <col min="10520" max="10752" width="9" style="27"/>
    <col min="10753" max="10753" width="15.5703125" style="27" bestFit="1" customWidth="1"/>
    <col min="10754" max="10754" width="16" style="27" customWidth="1"/>
    <col min="10755" max="10755" width="15.7109375" style="27" bestFit="1" customWidth="1"/>
    <col min="10756" max="10757" width="10.140625" style="27" bestFit="1" customWidth="1"/>
    <col min="10758" max="10758" width="33.42578125" style="27" bestFit="1" customWidth="1"/>
    <col min="10759" max="10759" width="14" style="27" customWidth="1"/>
    <col min="10760" max="10760" width="4.85546875" style="27" bestFit="1" customWidth="1"/>
    <col min="10761" max="10761" width="14.28515625" style="27" bestFit="1" customWidth="1"/>
    <col min="10762" max="10762" width="13.5703125" style="27" bestFit="1" customWidth="1"/>
    <col min="10763" max="10763" width="9.5703125" style="27" bestFit="1" customWidth="1"/>
    <col min="10764" max="10764" width="5.85546875" style="27" bestFit="1" customWidth="1"/>
    <col min="10765" max="10766" width="11.5703125" style="27" bestFit="1" customWidth="1"/>
    <col min="10767" max="10767" width="6.85546875" style="27" bestFit="1" customWidth="1"/>
    <col min="10768" max="10768" width="4.42578125" style="27" bestFit="1" customWidth="1"/>
    <col min="10769" max="10769" width="8.42578125" style="27" bestFit="1" customWidth="1"/>
    <col min="10770" max="10770" width="1.85546875" style="27" bestFit="1" customWidth="1"/>
    <col min="10771" max="10771" width="9.85546875" style="27" bestFit="1" customWidth="1"/>
    <col min="10772" max="10773" width="9" style="27"/>
    <col min="10774" max="10774" width="20.42578125" style="27" bestFit="1" customWidth="1"/>
    <col min="10775" max="10775" width="9.85546875" style="27" bestFit="1" customWidth="1"/>
    <col min="10776" max="11008" width="9" style="27"/>
    <col min="11009" max="11009" width="15.5703125" style="27" bestFit="1" customWidth="1"/>
    <col min="11010" max="11010" width="16" style="27" customWidth="1"/>
    <col min="11011" max="11011" width="15.7109375" style="27" bestFit="1" customWidth="1"/>
    <col min="11012" max="11013" width="10.140625" style="27" bestFit="1" customWidth="1"/>
    <col min="11014" max="11014" width="33.42578125" style="27" bestFit="1" customWidth="1"/>
    <col min="11015" max="11015" width="14" style="27" customWidth="1"/>
    <col min="11016" max="11016" width="4.85546875" style="27" bestFit="1" customWidth="1"/>
    <col min="11017" max="11017" width="14.28515625" style="27" bestFit="1" customWidth="1"/>
    <col min="11018" max="11018" width="13.5703125" style="27" bestFit="1" customWidth="1"/>
    <col min="11019" max="11019" width="9.5703125" style="27" bestFit="1" customWidth="1"/>
    <col min="11020" max="11020" width="5.85546875" style="27" bestFit="1" customWidth="1"/>
    <col min="11021" max="11022" width="11.5703125" style="27" bestFit="1" customWidth="1"/>
    <col min="11023" max="11023" width="6.85546875" style="27" bestFit="1" customWidth="1"/>
    <col min="11024" max="11024" width="4.42578125" style="27" bestFit="1" customWidth="1"/>
    <col min="11025" max="11025" width="8.42578125" style="27" bestFit="1" customWidth="1"/>
    <col min="11026" max="11026" width="1.85546875" style="27" bestFit="1" customWidth="1"/>
    <col min="11027" max="11027" width="9.85546875" style="27" bestFit="1" customWidth="1"/>
    <col min="11028" max="11029" width="9" style="27"/>
    <col min="11030" max="11030" width="20.42578125" style="27" bestFit="1" customWidth="1"/>
    <col min="11031" max="11031" width="9.85546875" style="27" bestFit="1" customWidth="1"/>
    <col min="11032" max="11264" width="9" style="27"/>
    <col min="11265" max="11265" width="15.5703125" style="27" bestFit="1" customWidth="1"/>
    <col min="11266" max="11266" width="16" style="27" customWidth="1"/>
    <col min="11267" max="11267" width="15.7109375" style="27" bestFit="1" customWidth="1"/>
    <col min="11268" max="11269" width="10.140625" style="27" bestFit="1" customWidth="1"/>
    <col min="11270" max="11270" width="33.42578125" style="27" bestFit="1" customWidth="1"/>
    <col min="11271" max="11271" width="14" style="27" customWidth="1"/>
    <col min="11272" max="11272" width="4.85546875" style="27" bestFit="1" customWidth="1"/>
    <col min="11273" max="11273" width="14.28515625" style="27" bestFit="1" customWidth="1"/>
    <col min="11274" max="11274" width="13.5703125" style="27" bestFit="1" customWidth="1"/>
    <col min="11275" max="11275" width="9.5703125" style="27" bestFit="1" customWidth="1"/>
    <col min="11276" max="11276" width="5.85546875" style="27" bestFit="1" customWidth="1"/>
    <col min="11277" max="11278" width="11.5703125" style="27" bestFit="1" customWidth="1"/>
    <col min="11279" max="11279" width="6.85546875" style="27" bestFit="1" customWidth="1"/>
    <col min="11280" max="11280" width="4.42578125" style="27" bestFit="1" customWidth="1"/>
    <col min="11281" max="11281" width="8.42578125" style="27" bestFit="1" customWidth="1"/>
    <col min="11282" max="11282" width="1.85546875" style="27" bestFit="1" customWidth="1"/>
    <col min="11283" max="11283" width="9.85546875" style="27" bestFit="1" customWidth="1"/>
    <col min="11284" max="11285" width="9" style="27"/>
    <col min="11286" max="11286" width="20.42578125" style="27" bestFit="1" customWidth="1"/>
    <col min="11287" max="11287" width="9.85546875" style="27" bestFit="1" customWidth="1"/>
    <col min="11288" max="11520" width="9" style="27"/>
    <col min="11521" max="11521" width="15.5703125" style="27" bestFit="1" customWidth="1"/>
    <col min="11522" max="11522" width="16" style="27" customWidth="1"/>
    <col min="11523" max="11523" width="15.7109375" style="27" bestFit="1" customWidth="1"/>
    <col min="11524" max="11525" width="10.140625" style="27" bestFit="1" customWidth="1"/>
    <col min="11526" max="11526" width="33.42578125" style="27" bestFit="1" customWidth="1"/>
    <col min="11527" max="11527" width="14" style="27" customWidth="1"/>
    <col min="11528" max="11528" width="4.85546875" style="27" bestFit="1" customWidth="1"/>
    <col min="11529" max="11529" width="14.28515625" style="27" bestFit="1" customWidth="1"/>
    <col min="11530" max="11530" width="13.5703125" style="27" bestFit="1" customWidth="1"/>
    <col min="11531" max="11531" width="9.5703125" style="27" bestFit="1" customWidth="1"/>
    <col min="11532" max="11532" width="5.85546875" style="27" bestFit="1" customWidth="1"/>
    <col min="11533" max="11534" width="11.5703125" style="27" bestFit="1" customWidth="1"/>
    <col min="11535" max="11535" width="6.85546875" style="27" bestFit="1" customWidth="1"/>
    <col min="11536" max="11536" width="4.42578125" style="27" bestFit="1" customWidth="1"/>
    <col min="11537" max="11537" width="8.42578125" style="27" bestFit="1" customWidth="1"/>
    <col min="11538" max="11538" width="1.85546875" style="27" bestFit="1" customWidth="1"/>
    <col min="11539" max="11539" width="9.85546875" style="27" bestFit="1" customWidth="1"/>
    <col min="11540" max="11541" width="9" style="27"/>
    <col min="11542" max="11542" width="20.42578125" style="27" bestFit="1" customWidth="1"/>
    <col min="11543" max="11543" width="9.85546875" style="27" bestFit="1" customWidth="1"/>
    <col min="11544" max="11776" width="9" style="27"/>
    <col min="11777" max="11777" width="15.5703125" style="27" bestFit="1" customWidth="1"/>
    <col min="11778" max="11778" width="16" style="27" customWidth="1"/>
    <col min="11779" max="11779" width="15.7109375" style="27" bestFit="1" customWidth="1"/>
    <col min="11780" max="11781" width="10.140625" style="27" bestFit="1" customWidth="1"/>
    <col min="11782" max="11782" width="33.42578125" style="27" bestFit="1" customWidth="1"/>
    <col min="11783" max="11783" width="14" style="27" customWidth="1"/>
    <col min="11784" max="11784" width="4.85546875" style="27" bestFit="1" customWidth="1"/>
    <col min="11785" max="11785" width="14.28515625" style="27" bestFit="1" customWidth="1"/>
    <col min="11786" max="11786" width="13.5703125" style="27" bestFit="1" customWidth="1"/>
    <col min="11787" max="11787" width="9.5703125" style="27" bestFit="1" customWidth="1"/>
    <col min="11788" max="11788" width="5.85546875" style="27" bestFit="1" customWidth="1"/>
    <col min="11789" max="11790" width="11.5703125" style="27" bestFit="1" customWidth="1"/>
    <col min="11791" max="11791" width="6.85546875" style="27" bestFit="1" customWidth="1"/>
    <col min="11792" max="11792" width="4.42578125" style="27" bestFit="1" customWidth="1"/>
    <col min="11793" max="11793" width="8.42578125" style="27" bestFit="1" customWidth="1"/>
    <col min="11794" max="11794" width="1.85546875" style="27" bestFit="1" customWidth="1"/>
    <col min="11795" max="11795" width="9.85546875" style="27" bestFit="1" customWidth="1"/>
    <col min="11796" max="11797" width="9" style="27"/>
    <col min="11798" max="11798" width="20.42578125" style="27" bestFit="1" customWidth="1"/>
    <col min="11799" max="11799" width="9.85546875" style="27" bestFit="1" customWidth="1"/>
    <col min="11800" max="12032" width="9" style="27"/>
    <col min="12033" max="12033" width="15.5703125" style="27" bestFit="1" customWidth="1"/>
    <col min="12034" max="12034" width="16" style="27" customWidth="1"/>
    <col min="12035" max="12035" width="15.7109375" style="27" bestFit="1" customWidth="1"/>
    <col min="12036" max="12037" width="10.140625" style="27" bestFit="1" customWidth="1"/>
    <col min="12038" max="12038" width="33.42578125" style="27" bestFit="1" customWidth="1"/>
    <col min="12039" max="12039" width="14" style="27" customWidth="1"/>
    <col min="12040" max="12040" width="4.85546875" style="27" bestFit="1" customWidth="1"/>
    <col min="12041" max="12041" width="14.28515625" style="27" bestFit="1" customWidth="1"/>
    <col min="12042" max="12042" width="13.5703125" style="27" bestFit="1" customWidth="1"/>
    <col min="12043" max="12043" width="9.5703125" style="27" bestFit="1" customWidth="1"/>
    <col min="12044" max="12044" width="5.85546875" style="27" bestFit="1" customWidth="1"/>
    <col min="12045" max="12046" width="11.5703125" style="27" bestFit="1" customWidth="1"/>
    <col min="12047" max="12047" width="6.85546875" style="27" bestFit="1" customWidth="1"/>
    <col min="12048" max="12048" width="4.42578125" style="27" bestFit="1" customWidth="1"/>
    <col min="12049" max="12049" width="8.42578125" style="27" bestFit="1" customWidth="1"/>
    <col min="12050" max="12050" width="1.85546875" style="27" bestFit="1" customWidth="1"/>
    <col min="12051" max="12051" width="9.85546875" style="27" bestFit="1" customWidth="1"/>
    <col min="12052" max="12053" width="9" style="27"/>
    <col min="12054" max="12054" width="20.42578125" style="27" bestFit="1" customWidth="1"/>
    <col min="12055" max="12055" width="9.85546875" style="27" bestFit="1" customWidth="1"/>
    <col min="12056" max="12288" width="9" style="27"/>
    <col min="12289" max="12289" width="15.5703125" style="27" bestFit="1" customWidth="1"/>
    <col min="12290" max="12290" width="16" style="27" customWidth="1"/>
    <col min="12291" max="12291" width="15.7109375" style="27" bestFit="1" customWidth="1"/>
    <col min="12292" max="12293" width="10.140625" style="27" bestFit="1" customWidth="1"/>
    <col min="12294" max="12294" width="33.42578125" style="27" bestFit="1" customWidth="1"/>
    <col min="12295" max="12295" width="14" style="27" customWidth="1"/>
    <col min="12296" max="12296" width="4.85546875" style="27" bestFit="1" customWidth="1"/>
    <col min="12297" max="12297" width="14.28515625" style="27" bestFit="1" customWidth="1"/>
    <col min="12298" max="12298" width="13.5703125" style="27" bestFit="1" customWidth="1"/>
    <col min="12299" max="12299" width="9.5703125" style="27" bestFit="1" customWidth="1"/>
    <col min="12300" max="12300" width="5.85546875" style="27" bestFit="1" customWidth="1"/>
    <col min="12301" max="12302" width="11.5703125" style="27" bestFit="1" customWidth="1"/>
    <col min="12303" max="12303" width="6.85546875" style="27" bestFit="1" customWidth="1"/>
    <col min="12304" max="12304" width="4.42578125" style="27" bestFit="1" customWidth="1"/>
    <col min="12305" max="12305" width="8.42578125" style="27" bestFit="1" customWidth="1"/>
    <col min="12306" max="12306" width="1.85546875" style="27" bestFit="1" customWidth="1"/>
    <col min="12307" max="12307" width="9.85546875" style="27" bestFit="1" customWidth="1"/>
    <col min="12308" max="12309" width="9" style="27"/>
    <col min="12310" max="12310" width="20.42578125" style="27" bestFit="1" customWidth="1"/>
    <col min="12311" max="12311" width="9.85546875" style="27" bestFit="1" customWidth="1"/>
    <col min="12312" max="12544" width="9" style="27"/>
    <col min="12545" max="12545" width="15.5703125" style="27" bestFit="1" customWidth="1"/>
    <col min="12546" max="12546" width="16" style="27" customWidth="1"/>
    <col min="12547" max="12547" width="15.7109375" style="27" bestFit="1" customWidth="1"/>
    <col min="12548" max="12549" width="10.140625" style="27" bestFit="1" customWidth="1"/>
    <col min="12550" max="12550" width="33.42578125" style="27" bestFit="1" customWidth="1"/>
    <col min="12551" max="12551" width="14" style="27" customWidth="1"/>
    <col min="12552" max="12552" width="4.85546875" style="27" bestFit="1" customWidth="1"/>
    <col min="12553" max="12553" width="14.28515625" style="27" bestFit="1" customWidth="1"/>
    <col min="12554" max="12554" width="13.5703125" style="27" bestFit="1" customWidth="1"/>
    <col min="12555" max="12555" width="9.5703125" style="27" bestFit="1" customWidth="1"/>
    <col min="12556" max="12556" width="5.85546875" style="27" bestFit="1" customWidth="1"/>
    <col min="12557" max="12558" width="11.5703125" style="27" bestFit="1" customWidth="1"/>
    <col min="12559" max="12559" width="6.85546875" style="27" bestFit="1" customWidth="1"/>
    <col min="12560" max="12560" width="4.42578125" style="27" bestFit="1" customWidth="1"/>
    <col min="12561" max="12561" width="8.42578125" style="27" bestFit="1" customWidth="1"/>
    <col min="12562" max="12562" width="1.85546875" style="27" bestFit="1" customWidth="1"/>
    <col min="12563" max="12563" width="9.85546875" style="27" bestFit="1" customWidth="1"/>
    <col min="12564" max="12565" width="9" style="27"/>
    <col min="12566" max="12566" width="20.42578125" style="27" bestFit="1" customWidth="1"/>
    <col min="12567" max="12567" width="9.85546875" style="27" bestFit="1" customWidth="1"/>
    <col min="12568" max="12800" width="9" style="27"/>
    <col min="12801" max="12801" width="15.5703125" style="27" bestFit="1" customWidth="1"/>
    <col min="12802" max="12802" width="16" style="27" customWidth="1"/>
    <col min="12803" max="12803" width="15.7109375" style="27" bestFit="1" customWidth="1"/>
    <col min="12804" max="12805" width="10.140625" style="27" bestFit="1" customWidth="1"/>
    <col min="12806" max="12806" width="33.42578125" style="27" bestFit="1" customWidth="1"/>
    <col min="12807" max="12807" width="14" style="27" customWidth="1"/>
    <col min="12808" max="12808" width="4.85546875" style="27" bestFit="1" customWidth="1"/>
    <col min="12809" max="12809" width="14.28515625" style="27" bestFit="1" customWidth="1"/>
    <col min="12810" max="12810" width="13.5703125" style="27" bestFit="1" customWidth="1"/>
    <col min="12811" max="12811" width="9.5703125" style="27" bestFit="1" customWidth="1"/>
    <col min="12812" max="12812" width="5.85546875" style="27" bestFit="1" customWidth="1"/>
    <col min="12813" max="12814" width="11.5703125" style="27" bestFit="1" customWidth="1"/>
    <col min="12815" max="12815" width="6.85546875" style="27" bestFit="1" customWidth="1"/>
    <col min="12816" max="12816" width="4.42578125" style="27" bestFit="1" customWidth="1"/>
    <col min="12817" max="12817" width="8.42578125" style="27" bestFit="1" customWidth="1"/>
    <col min="12818" max="12818" width="1.85546875" style="27" bestFit="1" customWidth="1"/>
    <col min="12819" max="12819" width="9.85546875" style="27" bestFit="1" customWidth="1"/>
    <col min="12820" max="12821" width="9" style="27"/>
    <col min="12822" max="12822" width="20.42578125" style="27" bestFit="1" customWidth="1"/>
    <col min="12823" max="12823" width="9.85546875" style="27" bestFit="1" customWidth="1"/>
    <col min="12824" max="13056" width="9" style="27"/>
    <col min="13057" max="13057" width="15.5703125" style="27" bestFit="1" customWidth="1"/>
    <col min="13058" max="13058" width="16" style="27" customWidth="1"/>
    <col min="13059" max="13059" width="15.7109375" style="27" bestFit="1" customWidth="1"/>
    <col min="13060" max="13061" width="10.140625" style="27" bestFit="1" customWidth="1"/>
    <col min="13062" max="13062" width="33.42578125" style="27" bestFit="1" customWidth="1"/>
    <col min="13063" max="13063" width="14" style="27" customWidth="1"/>
    <col min="13064" max="13064" width="4.85546875" style="27" bestFit="1" customWidth="1"/>
    <col min="13065" max="13065" width="14.28515625" style="27" bestFit="1" customWidth="1"/>
    <col min="13066" max="13066" width="13.5703125" style="27" bestFit="1" customWidth="1"/>
    <col min="13067" max="13067" width="9.5703125" style="27" bestFit="1" customWidth="1"/>
    <col min="13068" max="13068" width="5.85546875" style="27" bestFit="1" customWidth="1"/>
    <col min="13069" max="13070" width="11.5703125" style="27" bestFit="1" customWidth="1"/>
    <col min="13071" max="13071" width="6.85546875" style="27" bestFit="1" customWidth="1"/>
    <col min="13072" max="13072" width="4.42578125" style="27" bestFit="1" customWidth="1"/>
    <col min="13073" max="13073" width="8.42578125" style="27" bestFit="1" customWidth="1"/>
    <col min="13074" max="13074" width="1.85546875" style="27" bestFit="1" customWidth="1"/>
    <col min="13075" max="13075" width="9.85546875" style="27" bestFit="1" customWidth="1"/>
    <col min="13076" max="13077" width="9" style="27"/>
    <col min="13078" max="13078" width="20.42578125" style="27" bestFit="1" customWidth="1"/>
    <col min="13079" max="13079" width="9.85546875" style="27" bestFit="1" customWidth="1"/>
    <col min="13080" max="13312" width="9" style="27"/>
    <col min="13313" max="13313" width="15.5703125" style="27" bestFit="1" customWidth="1"/>
    <col min="13314" max="13314" width="16" style="27" customWidth="1"/>
    <col min="13315" max="13315" width="15.7109375" style="27" bestFit="1" customWidth="1"/>
    <col min="13316" max="13317" width="10.140625" style="27" bestFit="1" customWidth="1"/>
    <col min="13318" max="13318" width="33.42578125" style="27" bestFit="1" customWidth="1"/>
    <col min="13319" max="13319" width="14" style="27" customWidth="1"/>
    <col min="13320" max="13320" width="4.85546875" style="27" bestFit="1" customWidth="1"/>
    <col min="13321" max="13321" width="14.28515625" style="27" bestFit="1" customWidth="1"/>
    <col min="13322" max="13322" width="13.5703125" style="27" bestFit="1" customWidth="1"/>
    <col min="13323" max="13323" width="9.5703125" style="27" bestFit="1" customWidth="1"/>
    <col min="13324" max="13324" width="5.85546875" style="27" bestFit="1" customWidth="1"/>
    <col min="13325" max="13326" width="11.5703125" style="27" bestFit="1" customWidth="1"/>
    <col min="13327" max="13327" width="6.85546875" style="27" bestFit="1" customWidth="1"/>
    <col min="13328" max="13328" width="4.42578125" style="27" bestFit="1" customWidth="1"/>
    <col min="13329" max="13329" width="8.42578125" style="27" bestFit="1" customWidth="1"/>
    <col min="13330" max="13330" width="1.85546875" style="27" bestFit="1" customWidth="1"/>
    <col min="13331" max="13331" width="9.85546875" style="27" bestFit="1" customWidth="1"/>
    <col min="13332" max="13333" width="9" style="27"/>
    <col min="13334" max="13334" width="20.42578125" style="27" bestFit="1" customWidth="1"/>
    <col min="13335" max="13335" width="9.85546875" style="27" bestFit="1" customWidth="1"/>
    <col min="13336" max="13568" width="9" style="27"/>
    <col min="13569" max="13569" width="15.5703125" style="27" bestFit="1" customWidth="1"/>
    <col min="13570" max="13570" width="16" style="27" customWidth="1"/>
    <col min="13571" max="13571" width="15.7109375" style="27" bestFit="1" customWidth="1"/>
    <col min="13572" max="13573" width="10.140625" style="27" bestFit="1" customWidth="1"/>
    <col min="13574" max="13574" width="33.42578125" style="27" bestFit="1" customWidth="1"/>
    <col min="13575" max="13575" width="14" style="27" customWidth="1"/>
    <col min="13576" max="13576" width="4.85546875" style="27" bestFit="1" customWidth="1"/>
    <col min="13577" max="13577" width="14.28515625" style="27" bestFit="1" customWidth="1"/>
    <col min="13578" max="13578" width="13.5703125" style="27" bestFit="1" customWidth="1"/>
    <col min="13579" max="13579" width="9.5703125" style="27" bestFit="1" customWidth="1"/>
    <col min="13580" max="13580" width="5.85546875" style="27" bestFit="1" customWidth="1"/>
    <col min="13581" max="13582" width="11.5703125" style="27" bestFit="1" customWidth="1"/>
    <col min="13583" max="13583" width="6.85546875" style="27" bestFit="1" customWidth="1"/>
    <col min="13584" max="13584" width="4.42578125" style="27" bestFit="1" customWidth="1"/>
    <col min="13585" max="13585" width="8.42578125" style="27" bestFit="1" customWidth="1"/>
    <col min="13586" max="13586" width="1.85546875" style="27" bestFit="1" customWidth="1"/>
    <col min="13587" max="13587" width="9.85546875" style="27" bestFit="1" customWidth="1"/>
    <col min="13588" max="13589" width="9" style="27"/>
    <col min="13590" max="13590" width="20.42578125" style="27" bestFit="1" customWidth="1"/>
    <col min="13591" max="13591" width="9.85546875" style="27" bestFit="1" customWidth="1"/>
    <col min="13592" max="13824" width="9" style="27"/>
    <col min="13825" max="13825" width="15.5703125" style="27" bestFit="1" customWidth="1"/>
    <col min="13826" max="13826" width="16" style="27" customWidth="1"/>
    <col min="13827" max="13827" width="15.7109375" style="27" bestFit="1" customWidth="1"/>
    <col min="13828" max="13829" width="10.140625" style="27" bestFit="1" customWidth="1"/>
    <col min="13830" max="13830" width="33.42578125" style="27" bestFit="1" customWidth="1"/>
    <col min="13831" max="13831" width="14" style="27" customWidth="1"/>
    <col min="13832" max="13832" width="4.85546875" style="27" bestFit="1" customWidth="1"/>
    <col min="13833" max="13833" width="14.28515625" style="27" bestFit="1" customWidth="1"/>
    <col min="13834" max="13834" width="13.5703125" style="27" bestFit="1" customWidth="1"/>
    <col min="13835" max="13835" width="9.5703125" style="27" bestFit="1" customWidth="1"/>
    <col min="13836" max="13836" width="5.85546875" style="27" bestFit="1" customWidth="1"/>
    <col min="13837" max="13838" width="11.5703125" style="27" bestFit="1" customWidth="1"/>
    <col min="13839" max="13839" width="6.85546875" style="27" bestFit="1" customWidth="1"/>
    <col min="13840" max="13840" width="4.42578125" style="27" bestFit="1" customWidth="1"/>
    <col min="13841" max="13841" width="8.42578125" style="27" bestFit="1" customWidth="1"/>
    <col min="13842" max="13842" width="1.85546875" style="27" bestFit="1" customWidth="1"/>
    <col min="13843" max="13843" width="9.85546875" style="27" bestFit="1" customWidth="1"/>
    <col min="13844" max="13845" width="9" style="27"/>
    <col min="13846" max="13846" width="20.42578125" style="27" bestFit="1" customWidth="1"/>
    <col min="13847" max="13847" width="9.85546875" style="27" bestFit="1" customWidth="1"/>
    <col min="13848" max="14080" width="9" style="27"/>
    <col min="14081" max="14081" width="15.5703125" style="27" bestFit="1" customWidth="1"/>
    <col min="14082" max="14082" width="16" style="27" customWidth="1"/>
    <col min="14083" max="14083" width="15.7109375" style="27" bestFit="1" customWidth="1"/>
    <col min="14084" max="14085" width="10.140625" style="27" bestFit="1" customWidth="1"/>
    <col min="14086" max="14086" width="33.42578125" style="27" bestFit="1" customWidth="1"/>
    <col min="14087" max="14087" width="14" style="27" customWidth="1"/>
    <col min="14088" max="14088" width="4.85546875" style="27" bestFit="1" customWidth="1"/>
    <col min="14089" max="14089" width="14.28515625" style="27" bestFit="1" customWidth="1"/>
    <col min="14090" max="14090" width="13.5703125" style="27" bestFit="1" customWidth="1"/>
    <col min="14091" max="14091" width="9.5703125" style="27" bestFit="1" customWidth="1"/>
    <col min="14092" max="14092" width="5.85546875" style="27" bestFit="1" customWidth="1"/>
    <col min="14093" max="14094" width="11.5703125" style="27" bestFit="1" customWidth="1"/>
    <col min="14095" max="14095" width="6.85546875" style="27" bestFit="1" customWidth="1"/>
    <col min="14096" max="14096" width="4.42578125" style="27" bestFit="1" customWidth="1"/>
    <col min="14097" max="14097" width="8.42578125" style="27" bestFit="1" customWidth="1"/>
    <col min="14098" max="14098" width="1.85546875" style="27" bestFit="1" customWidth="1"/>
    <col min="14099" max="14099" width="9.85546875" style="27" bestFit="1" customWidth="1"/>
    <col min="14100" max="14101" width="9" style="27"/>
    <col min="14102" max="14102" width="20.42578125" style="27" bestFit="1" customWidth="1"/>
    <col min="14103" max="14103" width="9.85546875" style="27" bestFit="1" customWidth="1"/>
    <col min="14104" max="14336" width="9" style="27"/>
    <col min="14337" max="14337" width="15.5703125" style="27" bestFit="1" customWidth="1"/>
    <col min="14338" max="14338" width="16" style="27" customWidth="1"/>
    <col min="14339" max="14339" width="15.7109375" style="27" bestFit="1" customWidth="1"/>
    <col min="14340" max="14341" width="10.140625" style="27" bestFit="1" customWidth="1"/>
    <col min="14342" max="14342" width="33.42578125" style="27" bestFit="1" customWidth="1"/>
    <col min="14343" max="14343" width="14" style="27" customWidth="1"/>
    <col min="14344" max="14344" width="4.85546875" style="27" bestFit="1" customWidth="1"/>
    <col min="14345" max="14345" width="14.28515625" style="27" bestFit="1" customWidth="1"/>
    <col min="14346" max="14346" width="13.5703125" style="27" bestFit="1" customWidth="1"/>
    <col min="14347" max="14347" width="9.5703125" style="27" bestFit="1" customWidth="1"/>
    <col min="14348" max="14348" width="5.85546875" style="27" bestFit="1" customWidth="1"/>
    <col min="14349" max="14350" width="11.5703125" style="27" bestFit="1" customWidth="1"/>
    <col min="14351" max="14351" width="6.85546875" style="27" bestFit="1" customWidth="1"/>
    <col min="14352" max="14352" width="4.42578125" style="27" bestFit="1" customWidth="1"/>
    <col min="14353" max="14353" width="8.42578125" style="27" bestFit="1" customWidth="1"/>
    <col min="14354" max="14354" width="1.85546875" style="27" bestFit="1" customWidth="1"/>
    <col min="14355" max="14355" width="9.85546875" style="27" bestFit="1" customWidth="1"/>
    <col min="14356" max="14357" width="9" style="27"/>
    <col min="14358" max="14358" width="20.42578125" style="27" bestFit="1" customWidth="1"/>
    <col min="14359" max="14359" width="9.85546875" style="27" bestFit="1" customWidth="1"/>
    <col min="14360" max="14592" width="9" style="27"/>
    <col min="14593" max="14593" width="15.5703125" style="27" bestFit="1" customWidth="1"/>
    <col min="14594" max="14594" width="16" style="27" customWidth="1"/>
    <col min="14595" max="14595" width="15.7109375" style="27" bestFit="1" customWidth="1"/>
    <col min="14596" max="14597" width="10.140625" style="27" bestFit="1" customWidth="1"/>
    <col min="14598" max="14598" width="33.42578125" style="27" bestFit="1" customWidth="1"/>
    <col min="14599" max="14599" width="14" style="27" customWidth="1"/>
    <col min="14600" max="14600" width="4.85546875" style="27" bestFit="1" customWidth="1"/>
    <col min="14601" max="14601" width="14.28515625" style="27" bestFit="1" customWidth="1"/>
    <col min="14602" max="14602" width="13.5703125" style="27" bestFit="1" customWidth="1"/>
    <col min="14603" max="14603" width="9.5703125" style="27" bestFit="1" customWidth="1"/>
    <col min="14604" max="14604" width="5.85546875" style="27" bestFit="1" customWidth="1"/>
    <col min="14605" max="14606" width="11.5703125" style="27" bestFit="1" customWidth="1"/>
    <col min="14607" max="14607" width="6.85546875" style="27" bestFit="1" customWidth="1"/>
    <col min="14608" max="14608" width="4.42578125" style="27" bestFit="1" customWidth="1"/>
    <col min="14609" max="14609" width="8.42578125" style="27" bestFit="1" customWidth="1"/>
    <col min="14610" max="14610" width="1.85546875" style="27" bestFit="1" customWidth="1"/>
    <col min="14611" max="14611" width="9.85546875" style="27" bestFit="1" customWidth="1"/>
    <col min="14612" max="14613" width="9" style="27"/>
    <col min="14614" max="14614" width="20.42578125" style="27" bestFit="1" customWidth="1"/>
    <col min="14615" max="14615" width="9.85546875" style="27" bestFit="1" customWidth="1"/>
    <col min="14616" max="14848" width="9" style="27"/>
    <col min="14849" max="14849" width="15.5703125" style="27" bestFit="1" customWidth="1"/>
    <col min="14850" max="14850" width="16" style="27" customWidth="1"/>
    <col min="14851" max="14851" width="15.7109375" style="27" bestFit="1" customWidth="1"/>
    <col min="14852" max="14853" width="10.140625" style="27" bestFit="1" customWidth="1"/>
    <col min="14854" max="14854" width="33.42578125" style="27" bestFit="1" customWidth="1"/>
    <col min="14855" max="14855" width="14" style="27" customWidth="1"/>
    <col min="14856" max="14856" width="4.85546875" style="27" bestFit="1" customWidth="1"/>
    <col min="14857" max="14857" width="14.28515625" style="27" bestFit="1" customWidth="1"/>
    <col min="14858" max="14858" width="13.5703125" style="27" bestFit="1" customWidth="1"/>
    <col min="14859" max="14859" width="9.5703125" style="27" bestFit="1" customWidth="1"/>
    <col min="14860" max="14860" width="5.85546875" style="27" bestFit="1" customWidth="1"/>
    <col min="14861" max="14862" width="11.5703125" style="27" bestFit="1" customWidth="1"/>
    <col min="14863" max="14863" width="6.85546875" style="27" bestFit="1" customWidth="1"/>
    <col min="14864" max="14864" width="4.42578125" style="27" bestFit="1" customWidth="1"/>
    <col min="14865" max="14865" width="8.42578125" style="27" bestFit="1" customWidth="1"/>
    <col min="14866" max="14866" width="1.85546875" style="27" bestFit="1" customWidth="1"/>
    <col min="14867" max="14867" width="9.85546875" style="27" bestFit="1" customWidth="1"/>
    <col min="14868" max="14869" width="9" style="27"/>
    <col min="14870" max="14870" width="20.42578125" style="27" bestFit="1" customWidth="1"/>
    <col min="14871" max="14871" width="9.85546875" style="27" bestFit="1" customWidth="1"/>
    <col min="14872" max="15104" width="9" style="27"/>
    <col min="15105" max="15105" width="15.5703125" style="27" bestFit="1" customWidth="1"/>
    <col min="15106" max="15106" width="16" style="27" customWidth="1"/>
    <col min="15107" max="15107" width="15.7109375" style="27" bestFit="1" customWidth="1"/>
    <col min="15108" max="15109" width="10.140625" style="27" bestFit="1" customWidth="1"/>
    <col min="15110" max="15110" width="33.42578125" style="27" bestFit="1" customWidth="1"/>
    <col min="15111" max="15111" width="14" style="27" customWidth="1"/>
    <col min="15112" max="15112" width="4.85546875" style="27" bestFit="1" customWidth="1"/>
    <col min="15113" max="15113" width="14.28515625" style="27" bestFit="1" customWidth="1"/>
    <col min="15114" max="15114" width="13.5703125" style="27" bestFit="1" customWidth="1"/>
    <col min="15115" max="15115" width="9.5703125" style="27" bestFit="1" customWidth="1"/>
    <col min="15116" max="15116" width="5.85546875" style="27" bestFit="1" customWidth="1"/>
    <col min="15117" max="15118" width="11.5703125" style="27" bestFit="1" customWidth="1"/>
    <col min="15119" max="15119" width="6.85546875" style="27" bestFit="1" customWidth="1"/>
    <col min="15120" max="15120" width="4.42578125" style="27" bestFit="1" customWidth="1"/>
    <col min="15121" max="15121" width="8.42578125" style="27" bestFit="1" customWidth="1"/>
    <col min="15122" max="15122" width="1.85546875" style="27" bestFit="1" customWidth="1"/>
    <col min="15123" max="15123" width="9.85546875" style="27" bestFit="1" customWidth="1"/>
    <col min="15124" max="15125" width="9" style="27"/>
    <col min="15126" max="15126" width="20.42578125" style="27" bestFit="1" customWidth="1"/>
    <col min="15127" max="15127" width="9.85546875" style="27" bestFit="1" customWidth="1"/>
    <col min="15128" max="15360" width="9" style="27"/>
    <col min="15361" max="15361" width="15.5703125" style="27" bestFit="1" customWidth="1"/>
    <col min="15362" max="15362" width="16" style="27" customWidth="1"/>
    <col min="15363" max="15363" width="15.7109375" style="27" bestFit="1" customWidth="1"/>
    <col min="15364" max="15365" width="10.140625" style="27" bestFit="1" customWidth="1"/>
    <col min="15366" max="15366" width="33.42578125" style="27" bestFit="1" customWidth="1"/>
    <col min="15367" max="15367" width="14" style="27" customWidth="1"/>
    <col min="15368" max="15368" width="4.85546875" style="27" bestFit="1" customWidth="1"/>
    <col min="15369" max="15369" width="14.28515625" style="27" bestFit="1" customWidth="1"/>
    <col min="15370" max="15370" width="13.5703125" style="27" bestFit="1" customWidth="1"/>
    <col min="15371" max="15371" width="9.5703125" style="27" bestFit="1" customWidth="1"/>
    <col min="15372" max="15372" width="5.85546875" style="27" bestFit="1" customWidth="1"/>
    <col min="15373" max="15374" width="11.5703125" style="27" bestFit="1" customWidth="1"/>
    <col min="15375" max="15375" width="6.85546875" style="27" bestFit="1" customWidth="1"/>
    <col min="15376" max="15376" width="4.42578125" style="27" bestFit="1" customWidth="1"/>
    <col min="15377" max="15377" width="8.42578125" style="27" bestFit="1" customWidth="1"/>
    <col min="15378" max="15378" width="1.85546875" style="27" bestFit="1" customWidth="1"/>
    <col min="15379" max="15379" width="9.85546875" style="27" bestFit="1" customWidth="1"/>
    <col min="15380" max="15381" width="9" style="27"/>
    <col min="15382" max="15382" width="20.42578125" style="27" bestFit="1" customWidth="1"/>
    <col min="15383" max="15383" width="9.85546875" style="27" bestFit="1" customWidth="1"/>
    <col min="15384" max="15616" width="9" style="27"/>
    <col min="15617" max="15617" width="15.5703125" style="27" bestFit="1" customWidth="1"/>
    <col min="15618" max="15618" width="16" style="27" customWidth="1"/>
    <col min="15619" max="15619" width="15.7109375" style="27" bestFit="1" customWidth="1"/>
    <col min="15620" max="15621" width="10.140625" style="27" bestFit="1" customWidth="1"/>
    <col min="15622" max="15622" width="33.42578125" style="27" bestFit="1" customWidth="1"/>
    <col min="15623" max="15623" width="14" style="27" customWidth="1"/>
    <col min="15624" max="15624" width="4.85546875" style="27" bestFit="1" customWidth="1"/>
    <col min="15625" max="15625" width="14.28515625" style="27" bestFit="1" customWidth="1"/>
    <col min="15626" max="15626" width="13.5703125" style="27" bestFit="1" customWidth="1"/>
    <col min="15627" max="15627" width="9.5703125" style="27" bestFit="1" customWidth="1"/>
    <col min="15628" max="15628" width="5.85546875" style="27" bestFit="1" customWidth="1"/>
    <col min="15629" max="15630" width="11.5703125" style="27" bestFit="1" customWidth="1"/>
    <col min="15631" max="15631" width="6.85546875" style="27" bestFit="1" customWidth="1"/>
    <col min="15632" max="15632" width="4.42578125" style="27" bestFit="1" customWidth="1"/>
    <col min="15633" max="15633" width="8.42578125" style="27" bestFit="1" customWidth="1"/>
    <col min="15634" max="15634" width="1.85546875" style="27" bestFit="1" customWidth="1"/>
    <col min="15635" max="15635" width="9.85546875" style="27" bestFit="1" customWidth="1"/>
    <col min="15636" max="15637" width="9" style="27"/>
    <col min="15638" max="15638" width="20.42578125" style="27" bestFit="1" customWidth="1"/>
    <col min="15639" max="15639" width="9.85546875" style="27" bestFit="1" customWidth="1"/>
    <col min="15640" max="15872" width="9" style="27"/>
    <col min="15873" max="15873" width="15.5703125" style="27" bestFit="1" customWidth="1"/>
    <col min="15874" max="15874" width="16" style="27" customWidth="1"/>
    <col min="15875" max="15875" width="15.7109375" style="27" bestFit="1" customWidth="1"/>
    <col min="15876" max="15877" width="10.140625" style="27" bestFit="1" customWidth="1"/>
    <col min="15878" max="15878" width="33.42578125" style="27" bestFit="1" customWidth="1"/>
    <col min="15879" max="15879" width="14" style="27" customWidth="1"/>
    <col min="15880" max="15880" width="4.85546875" style="27" bestFit="1" customWidth="1"/>
    <col min="15881" max="15881" width="14.28515625" style="27" bestFit="1" customWidth="1"/>
    <col min="15882" max="15882" width="13.5703125" style="27" bestFit="1" customWidth="1"/>
    <col min="15883" max="15883" width="9.5703125" style="27" bestFit="1" customWidth="1"/>
    <col min="15884" max="15884" width="5.85546875" style="27" bestFit="1" customWidth="1"/>
    <col min="15885" max="15886" width="11.5703125" style="27" bestFit="1" customWidth="1"/>
    <col min="15887" max="15887" width="6.85546875" style="27" bestFit="1" customWidth="1"/>
    <col min="15888" max="15888" width="4.42578125" style="27" bestFit="1" customWidth="1"/>
    <col min="15889" max="15889" width="8.42578125" style="27" bestFit="1" customWidth="1"/>
    <col min="15890" max="15890" width="1.85546875" style="27" bestFit="1" customWidth="1"/>
    <col min="15891" max="15891" width="9.85546875" style="27" bestFit="1" customWidth="1"/>
    <col min="15892" max="15893" width="9" style="27"/>
    <col min="15894" max="15894" width="20.42578125" style="27" bestFit="1" customWidth="1"/>
    <col min="15895" max="15895" width="9.85546875" style="27" bestFit="1" customWidth="1"/>
    <col min="15896" max="16128" width="9" style="27"/>
    <col min="16129" max="16129" width="15.5703125" style="27" bestFit="1" customWidth="1"/>
    <col min="16130" max="16130" width="16" style="27" customWidth="1"/>
    <col min="16131" max="16131" width="15.7109375" style="27" bestFit="1" customWidth="1"/>
    <col min="16132" max="16133" width="10.140625" style="27" bestFit="1" customWidth="1"/>
    <col min="16134" max="16134" width="33.42578125" style="27" bestFit="1" customWidth="1"/>
    <col min="16135" max="16135" width="14" style="27" customWidth="1"/>
    <col min="16136" max="16136" width="4.85546875" style="27" bestFit="1" customWidth="1"/>
    <col min="16137" max="16137" width="14.28515625" style="27" bestFit="1" customWidth="1"/>
    <col min="16138" max="16138" width="13.5703125" style="27" bestFit="1" customWidth="1"/>
    <col min="16139" max="16139" width="9.5703125" style="27" bestFit="1" customWidth="1"/>
    <col min="16140" max="16140" width="5.85546875" style="27" bestFit="1" customWidth="1"/>
    <col min="16141" max="16142" width="11.5703125" style="27" bestFit="1" customWidth="1"/>
    <col min="16143" max="16143" width="6.85546875" style="27" bestFit="1" customWidth="1"/>
    <col min="16144" max="16144" width="4.42578125" style="27" bestFit="1" customWidth="1"/>
    <col min="16145" max="16145" width="8.42578125" style="27" bestFit="1" customWidth="1"/>
    <col min="16146" max="16146" width="1.85546875" style="27" bestFit="1" customWidth="1"/>
    <col min="16147" max="16147" width="9.85546875" style="27" bestFit="1" customWidth="1"/>
    <col min="16148" max="16149" width="9" style="27"/>
    <col min="16150" max="16150" width="20.42578125" style="27" bestFit="1" customWidth="1"/>
    <col min="16151" max="16151" width="9.85546875" style="27" bestFit="1" customWidth="1"/>
    <col min="16152" max="16384" width="9" style="27"/>
  </cols>
  <sheetData>
    <row r="1" spans="1:16" ht="17.25" thickTop="1" thickBot="1">
      <c r="A1" s="233" t="s">
        <v>31</v>
      </c>
      <c r="B1" s="40">
        <f>+C1</f>
        <v>2000000</v>
      </c>
      <c r="C1" s="40">
        <v>2000000</v>
      </c>
      <c r="D1" s="235" t="s">
        <v>32</v>
      </c>
      <c r="E1" s="235"/>
      <c r="F1" s="41"/>
      <c r="G1" s="41"/>
      <c r="H1" s="42"/>
      <c r="I1" s="27">
        <v>2018</v>
      </c>
      <c r="J1" s="27" t="s">
        <v>57</v>
      </c>
      <c r="M1" s="45"/>
      <c r="N1" s="45"/>
    </row>
    <row r="2" spans="1:16" ht="17.25" thickTop="1" thickBot="1">
      <c r="A2" s="234"/>
      <c r="B2" s="48">
        <f>IF(B1&lt;=8000,"0",IF(B1&lt;=30000,(B1-8000)*0.1*0.15,IF(B1&lt;=45000,(B1-30000)*0.15*0.55+2200*0.55,IF(B1&lt;=200000,(B1-45000)*0.2*0.925+4450*0.925,IF(B1&gt;200000,(B1-200000)*0.225+35450,"000")))))</f>
        <v>440450</v>
      </c>
      <c r="C2" s="49">
        <f>IF(C1&lt;=8000,"0",IF(C1&lt;=30000,((C1*0.1)-800)*15%,IF(C1&lt;=45000,((C1*0.15)-2300)*55%,IF(C1&lt;=200000,((C1*0.2)-4550)*92.5%,IF(C1&gt;200000,(C1*22.5%)-9550,"000")))))</f>
        <v>440450</v>
      </c>
      <c r="D2" s="14" t="s">
        <v>35</v>
      </c>
      <c r="E2" s="14" t="s">
        <v>0</v>
      </c>
      <c r="F2" s="15" t="s">
        <v>36</v>
      </c>
      <c r="G2" s="41"/>
      <c r="H2" s="42"/>
      <c r="M2" s="27"/>
      <c r="N2" s="27"/>
    </row>
    <row r="3" spans="1:16" ht="17.25" thickTop="1" thickBot="1">
      <c r="A3" s="41"/>
      <c r="B3" s="41"/>
      <c r="C3" s="41"/>
      <c r="D3" s="14">
        <v>0</v>
      </c>
      <c r="E3" s="14">
        <v>8000</v>
      </c>
      <c r="F3" s="14" t="s">
        <v>38</v>
      </c>
      <c r="G3" s="41"/>
      <c r="H3" s="42"/>
      <c r="M3" s="27"/>
      <c r="N3" s="27"/>
    </row>
    <row r="4" spans="1:16" ht="17.25" thickTop="1" thickBot="1">
      <c r="A4" s="236" t="s">
        <v>39</v>
      </c>
      <c r="B4" s="41" t="s">
        <v>42</v>
      </c>
      <c r="C4" s="50">
        <f>+C2</f>
        <v>440450</v>
      </c>
      <c r="D4" s="14">
        <v>8001</v>
      </c>
      <c r="E4" s="14">
        <v>30000</v>
      </c>
      <c r="F4" s="16" t="s">
        <v>77</v>
      </c>
      <c r="G4" s="41" t="s">
        <v>78</v>
      </c>
      <c r="H4" s="42"/>
      <c r="J4" s="232" t="s">
        <v>99</v>
      </c>
      <c r="K4" s="232"/>
      <c r="L4" s="232"/>
      <c r="M4" s="232"/>
      <c r="N4" s="232"/>
      <c r="O4" s="232"/>
    </row>
    <row r="5" spans="1:16" ht="17.25" thickTop="1" thickBot="1">
      <c r="A5" s="237"/>
      <c r="B5" s="41" t="s">
        <v>42</v>
      </c>
      <c r="C5" s="47">
        <f>IF(C4&lt;=330,(C4+120)/0.015,IF(C4&lt;=2447.5,(C4+1265)/0.0825,IF(C4&lt;=32791.25,(C4+4208.75)/0.185,IF(C4&gt;32791.25,(C4+9550)/0.225,"LOL"))))</f>
        <v>2000000</v>
      </c>
      <c r="D5" s="14">
        <v>30001</v>
      </c>
      <c r="E5" s="14">
        <v>45000</v>
      </c>
      <c r="F5" s="16" t="s">
        <v>79</v>
      </c>
      <c r="G5" s="41" t="s">
        <v>80</v>
      </c>
      <c r="H5" s="42"/>
      <c r="J5" s="232"/>
      <c r="K5" s="232"/>
      <c r="L5" s="232"/>
      <c r="M5" s="232"/>
      <c r="N5" s="232"/>
      <c r="O5" s="232"/>
    </row>
    <row r="6" spans="1:16" ht="17.25" thickTop="1" thickBot="1">
      <c r="A6" s="41"/>
      <c r="B6" s="41" t="s">
        <v>42</v>
      </c>
      <c r="C6" s="41"/>
      <c r="D6" s="14">
        <v>45001</v>
      </c>
      <c r="E6" s="17">
        <v>200000</v>
      </c>
      <c r="F6" s="16" t="s">
        <v>81</v>
      </c>
      <c r="G6" s="41" t="s">
        <v>82</v>
      </c>
      <c r="H6" s="42"/>
      <c r="L6" s="60" t="s">
        <v>35</v>
      </c>
      <c r="M6" s="60" t="s">
        <v>0</v>
      </c>
      <c r="N6" s="27"/>
    </row>
    <row r="7" spans="1:16" ht="17.25" thickTop="1" thickBot="1">
      <c r="A7" s="41"/>
      <c r="B7" s="41" t="s">
        <v>42</v>
      </c>
      <c r="C7" s="41"/>
      <c r="D7" s="14">
        <v>200000</v>
      </c>
      <c r="E7" s="17" t="s">
        <v>44</v>
      </c>
      <c r="F7" s="16" t="s">
        <v>83</v>
      </c>
      <c r="G7" s="41"/>
      <c r="H7" s="42"/>
      <c r="L7" s="45">
        <v>330</v>
      </c>
      <c r="M7" s="45">
        <v>1210</v>
      </c>
      <c r="N7" s="27"/>
    </row>
    <row r="8" spans="1:16" ht="17.25" thickTop="1" thickBot="1">
      <c r="C8" s="41"/>
      <c r="D8" s="41"/>
      <c r="E8" s="41"/>
      <c r="F8" s="41"/>
      <c r="G8" s="41"/>
      <c r="H8" s="42"/>
      <c r="L8" s="45">
        <v>2447.5</v>
      </c>
      <c r="M8" s="45">
        <v>4116.25</v>
      </c>
      <c r="N8" s="27"/>
    </row>
    <row r="9" spans="1:16" ht="17.25" thickTop="1" thickBot="1">
      <c r="C9" s="41"/>
      <c r="D9" s="238" t="s">
        <v>36</v>
      </c>
      <c r="E9" s="239"/>
      <c r="F9" s="41"/>
      <c r="G9" s="41"/>
      <c r="H9" s="42"/>
      <c r="L9" s="45">
        <v>32791.25</v>
      </c>
      <c r="M9" s="45">
        <v>35450</v>
      </c>
      <c r="N9" s="27"/>
    </row>
    <row r="10" spans="1:16" ht="17.25" thickTop="1" thickBot="1">
      <c r="C10" s="41"/>
      <c r="D10" s="23" t="s">
        <v>35</v>
      </c>
      <c r="E10" s="23" t="s">
        <v>0</v>
      </c>
      <c r="F10" s="24" t="s">
        <v>32</v>
      </c>
      <c r="G10" s="41"/>
      <c r="H10" s="42"/>
      <c r="M10" s="27"/>
      <c r="N10" s="27"/>
    </row>
    <row r="11" spans="1:16" ht="17.25" customHeight="1" thickTop="1" thickBot="1">
      <c r="C11" s="41"/>
      <c r="D11" s="23">
        <v>0</v>
      </c>
      <c r="E11" s="23">
        <v>2200</v>
      </c>
      <c r="F11" s="25" t="s">
        <v>87</v>
      </c>
      <c r="G11" s="41"/>
      <c r="H11" s="42"/>
      <c r="I11" s="208" t="s">
        <v>156</v>
      </c>
      <c r="J11" s="208"/>
      <c r="K11" s="208"/>
      <c r="L11" s="208"/>
      <c r="M11" s="208"/>
      <c r="N11" s="208"/>
      <c r="O11" s="208"/>
      <c r="P11" s="208"/>
    </row>
    <row r="12" spans="1:16" ht="17.25" customHeight="1" thickTop="1" thickBot="1">
      <c r="C12" s="41"/>
      <c r="D12" s="23">
        <v>2281</v>
      </c>
      <c r="E12" s="23">
        <v>4450</v>
      </c>
      <c r="F12" s="25" t="s">
        <v>88</v>
      </c>
      <c r="G12" s="41"/>
      <c r="H12" s="42"/>
      <c r="I12" s="208"/>
      <c r="J12" s="208"/>
      <c r="K12" s="208"/>
      <c r="L12" s="208"/>
      <c r="M12" s="208"/>
      <c r="N12" s="208"/>
      <c r="O12" s="208"/>
      <c r="P12" s="208"/>
    </row>
    <row r="13" spans="1:16" ht="17.25" thickTop="1" thickBot="1">
      <c r="C13" s="41"/>
      <c r="D13" s="23">
        <v>4531</v>
      </c>
      <c r="E13" s="23">
        <v>35450</v>
      </c>
      <c r="F13" s="25" t="s">
        <v>90</v>
      </c>
      <c r="G13" s="41"/>
      <c r="H13" s="42"/>
      <c r="I13" s="208"/>
      <c r="J13" s="208"/>
      <c r="K13" s="208"/>
      <c r="L13" s="208"/>
      <c r="M13" s="208"/>
      <c r="N13" s="208"/>
      <c r="O13" s="208"/>
      <c r="P13" s="208"/>
    </row>
    <row r="14" spans="1:16" ht="17.25" thickTop="1" thickBot="1">
      <c r="C14" s="41"/>
      <c r="D14" s="23">
        <v>35451</v>
      </c>
      <c r="E14" s="26" t="s">
        <v>44</v>
      </c>
      <c r="F14" s="25" t="s">
        <v>92</v>
      </c>
      <c r="G14" s="41"/>
      <c r="H14" s="42"/>
      <c r="I14" s="208"/>
      <c r="J14" s="208"/>
      <c r="K14" s="208"/>
      <c r="L14" s="208"/>
      <c r="M14" s="208"/>
      <c r="N14" s="208"/>
      <c r="O14" s="208"/>
      <c r="P14" s="208"/>
    </row>
    <row r="15" spans="1:16" ht="17.25" customHeight="1" thickTop="1">
      <c r="C15" s="41"/>
      <c r="D15" s="41"/>
      <c r="E15" s="41"/>
      <c r="F15" s="41"/>
      <c r="G15" s="41"/>
      <c r="H15" s="42"/>
      <c r="I15" s="208"/>
      <c r="J15" s="208"/>
      <c r="K15" s="208"/>
      <c r="L15" s="208"/>
      <c r="M15" s="208"/>
      <c r="N15" s="208"/>
      <c r="O15" s="208"/>
      <c r="P15" s="208"/>
    </row>
    <row r="16" spans="1:16" ht="17.25" customHeight="1">
      <c r="C16" s="41"/>
      <c r="D16" s="41"/>
      <c r="E16" s="41"/>
      <c r="F16" s="41"/>
      <c r="G16" s="41"/>
      <c r="I16" s="208"/>
      <c r="J16" s="208"/>
      <c r="K16" s="208"/>
      <c r="L16" s="208"/>
      <c r="M16" s="208"/>
      <c r="N16" s="208"/>
      <c r="O16" s="208"/>
      <c r="P16" s="208"/>
    </row>
    <row r="17" spans="4:16">
      <c r="I17" s="208"/>
      <c r="J17" s="208"/>
      <c r="K17" s="208"/>
      <c r="L17" s="208"/>
      <c r="M17" s="208"/>
      <c r="N17" s="208"/>
      <c r="O17" s="208"/>
      <c r="P17" s="208"/>
    </row>
    <row r="18" spans="4:16">
      <c r="I18" s="208"/>
      <c r="J18" s="208"/>
      <c r="K18" s="208"/>
      <c r="L18" s="208"/>
      <c r="M18" s="208"/>
      <c r="N18" s="208"/>
      <c r="O18" s="208"/>
      <c r="P18" s="208"/>
    </row>
    <row r="20" spans="4:16" ht="15.75" customHeight="1" thickBot="1"/>
    <row r="21" spans="4:16" ht="17.25" thickTop="1" thickBot="1">
      <c r="D21" s="48" t="str">
        <f>IF(C21&lt;=8000,"0",IF(C21&lt;=30000,(C21-8000)*0.1*0.15,IF(C21&lt;=45000,(C21-30000)*0.15*0.55+2200*0.55,IF(C21&lt;=200000,(C21-45000)*0.2*0.925+4450*0.925,IF(C21&gt;200000,(C21-200000)*0.225+35450,"000")))))</f>
        <v>0</v>
      </c>
    </row>
    <row r="22" spans="4:16" ht="16.5" thickTop="1"/>
  </sheetData>
  <mergeCells count="6">
    <mergeCell ref="I11:P18"/>
    <mergeCell ref="J4:O5"/>
    <mergeCell ref="A1:A2"/>
    <mergeCell ref="D1:E1"/>
    <mergeCell ref="A4:A5"/>
    <mergeCell ref="D9:E9"/>
  </mergeCells>
  <pageMargins left="0.70866141732283472" right="0.70866141732283472" top="0.74803149606299213" bottom="0.74803149606299213" header="0.31496062992125984" footer="0.31496062992125984"/>
  <pageSetup paperSize="9" orientation="landscape" horizontalDpi="0"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مقابل التاخير</vt:lpstr>
      <vt:lpstr>كسب العمل</vt:lpstr>
      <vt:lpstr>مادة 3 قانون 30</vt:lpstr>
      <vt:lpstr>مسودة</vt:lpstr>
      <vt:lpstr>تامينات 2024</vt:lpstr>
      <vt:lpstr>ض د 2023</vt:lpstr>
      <vt:lpstr>ض د 2023 لم يتم العمل بها</vt:lpstr>
      <vt:lpstr>ض .د 2020 و 2021 و 2022 </vt:lpstr>
      <vt:lpstr>ض .د 2018 و 2019</vt:lpstr>
      <vt:lpstr>ض .د 2017 </vt:lpstr>
      <vt:lpstr>ض .د 2015 و 2016</vt:lpstr>
      <vt:lpstr>ض د 2013 و 2014</vt:lpstr>
      <vt:lpstr>ض .د من 2005حتى  2012</vt:lpstr>
      <vt:lpstr>كسب عمل 2013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2024-01-11T02:24:39Z</dcterms:modified>
</cp:coreProperties>
</file>